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2" activeTab="12"/>
  </bookViews>
  <sheets>
    <sheet name="Декабрь11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1" r:id="rId10"/>
    <sheet name="октябрь" sheetId="10" r:id="rId11"/>
    <sheet name="ноябрь" sheetId="12" r:id="rId12"/>
    <sheet name="декабрь12" sheetId="13" r:id="rId13"/>
    <sheet name="Лист14" sheetId="14" r:id="rId14"/>
  </sheets>
  <calcPr calcId="124519"/>
</workbook>
</file>

<file path=xl/calcChain.xml><?xml version="1.0" encoding="utf-8"?>
<calcChain xmlns="http://schemas.openxmlformats.org/spreadsheetml/2006/main">
  <c r="I11" i="2"/>
  <c r="E8" i="13"/>
  <c r="E22"/>
  <c r="C22"/>
  <c r="E20"/>
  <c r="C20"/>
  <c r="E21"/>
  <c r="C21"/>
  <c r="E18"/>
  <c r="C18"/>
  <c r="E19"/>
  <c r="C19"/>
  <c r="E14"/>
  <c r="C14"/>
  <c r="E13"/>
  <c r="C13"/>
  <c r="E12"/>
  <c r="E11"/>
  <c r="C11"/>
  <c r="E10"/>
  <c r="C10"/>
  <c r="E9"/>
  <c r="C9"/>
  <c r="E7"/>
  <c r="C7"/>
  <c r="C8"/>
  <c r="E17"/>
  <c r="C17"/>
  <c r="E16"/>
  <c r="C16"/>
  <c r="E5"/>
  <c r="C5"/>
  <c r="E4"/>
  <c r="C4"/>
  <c r="E3"/>
  <c r="C3"/>
  <c r="M4" i="2"/>
  <c r="E22" i="12"/>
  <c r="C22"/>
  <c r="G22"/>
  <c r="E20"/>
  <c r="C20"/>
  <c r="E21"/>
  <c r="C21"/>
  <c r="E18"/>
  <c r="C18"/>
  <c r="E19"/>
  <c r="C19"/>
  <c r="E14"/>
  <c r="C14"/>
  <c r="E13"/>
  <c r="C13"/>
  <c r="E12"/>
  <c r="E11"/>
  <c r="E10"/>
  <c r="C10"/>
  <c r="E9"/>
  <c r="G9"/>
  <c r="C9"/>
  <c r="E7"/>
  <c r="C7"/>
  <c r="E8"/>
  <c r="C8"/>
  <c r="E17"/>
  <c r="C17"/>
  <c r="G17"/>
  <c r="E16"/>
  <c r="C16"/>
  <c r="E5"/>
  <c r="G5"/>
  <c r="C5"/>
  <c r="E4"/>
  <c r="C4"/>
  <c r="E3"/>
  <c r="C3"/>
  <c r="C23"/>
  <c r="E20" i="10"/>
  <c r="C20"/>
  <c r="E18"/>
  <c r="C18"/>
  <c r="E19"/>
  <c r="C19"/>
  <c r="E14"/>
  <c r="C14"/>
  <c r="E13"/>
  <c r="C13"/>
  <c r="E12"/>
  <c r="C12"/>
  <c r="E11"/>
  <c r="C11"/>
  <c r="E10"/>
  <c r="C10"/>
  <c r="E9"/>
  <c r="C9"/>
  <c r="E7"/>
  <c r="C7"/>
  <c r="E8"/>
  <c r="C8"/>
  <c r="E17"/>
  <c r="C17"/>
  <c r="E16"/>
  <c r="C16"/>
  <c r="E5"/>
  <c r="C5"/>
  <c r="E4"/>
  <c r="C4"/>
  <c r="E3"/>
  <c r="C3"/>
  <c r="B17"/>
  <c r="B17" i="12" s="1"/>
  <c r="B17" i="13" s="1"/>
  <c r="B18" i="10"/>
  <c r="B18" i="12" s="1"/>
  <c r="B18" i="13" s="1"/>
  <c r="B19" i="10"/>
  <c r="B19" i="12"/>
  <c r="B19" i="13" s="1"/>
  <c r="B20" i="10"/>
  <c r="B20" i="12" s="1"/>
  <c r="B20" i="13" s="1"/>
  <c r="B16" i="10"/>
  <c r="B16" i="12"/>
  <c r="B16" i="13" s="1"/>
  <c r="E20" i="11"/>
  <c r="C20"/>
  <c r="E18"/>
  <c r="C18"/>
  <c r="E19"/>
  <c r="C19"/>
  <c r="E14"/>
  <c r="C14"/>
  <c r="E13"/>
  <c r="C13"/>
  <c r="E12"/>
  <c r="C12"/>
  <c r="E11"/>
  <c r="C11"/>
  <c r="E10"/>
  <c r="C10"/>
  <c r="E9"/>
  <c r="C9"/>
  <c r="E7"/>
  <c r="C7"/>
  <c r="E8"/>
  <c r="C8"/>
  <c r="E17"/>
  <c r="C17"/>
  <c r="E16"/>
  <c r="C16"/>
  <c r="E5"/>
  <c r="C5"/>
  <c r="E4"/>
  <c r="C4"/>
  <c r="E3"/>
  <c r="C3"/>
  <c r="E18" i="9"/>
  <c r="C18"/>
  <c r="E14"/>
  <c r="C14"/>
  <c r="E13"/>
  <c r="C13"/>
  <c r="E12"/>
  <c r="C12"/>
  <c r="E11"/>
  <c r="C11"/>
  <c r="E10"/>
  <c r="C10"/>
  <c r="E9"/>
  <c r="C9"/>
  <c r="E7"/>
  <c r="C7"/>
  <c r="E8"/>
  <c r="C8"/>
  <c r="E17"/>
  <c r="C17"/>
  <c r="E16"/>
  <c r="C16"/>
  <c r="E5"/>
  <c r="C5"/>
  <c r="E4"/>
  <c r="C4"/>
  <c r="E3"/>
  <c r="C3"/>
  <c r="E18" i="8"/>
  <c r="C18"/>
  <c r="E14"/>
  <c r="C14"/>
  <c r="E13"/>
  <c r="C13"/>
  <c r="E12"/>
  <c r="C12"/>
  <c r="E11"/>
  <c r="C11"/>
  <c r="E10"/>
  <c r="C10"/>
  <c r="E9"/>
  <c r="C9"/>
  <c r="E7"/>
  <c r="C7"/>
  <c r="E8"/>
  <c r="C8"/>
  <c r="E17"/>
  <c r="C17"/>
  <c r="E16"/>
  <c r="C16"/>
  <c r="E5"/>
  <c r="C5"/>
  <c r="E4"/>
  <c r="C4"/>
  <c r="E3"/>
  <c r="C3"/>
  <c r="E18" i="7"/>
  <c r="C18"/>
  <c r="E14"/>
  <c r="C14"/>
  <c r="E13"/>
  <c r="C13"/>
  <c r="E12"/>
  <c r="C12"/>
  <c r="E11"/>
  <c r="C11"/>
  <c r="E10"/>
  <c r="C10"/>
  <c r="E7"/>
  <c r="C7"/>
  <c r="E8"/>
  <c r="C8"/>
  <c r="E17"/>
  <c r="C17"/>
  <c r="E16"/>
  <c r="C16"/>
  <c r="E5"/>
  <c r="C5"/>
  <c r="E4"/>
  <c r="C4"/>
  <c r="E3"/>
  <c r="C3"/>
  <c r="E9"/>
  <c r="C9"/>
  <c r="E18" i="6"/>
  <c r="C18"/>
  <c r="E14"/>
  <c r="C14"/>
  <c r="E13"/>
  <c r="C13"/>
  <c r="E12"/>
  <c r="C12"/>
  <c r="E11"/>
  <c r="C11"/>
  <c r="E10"/>
  <c r="C10"/>
  <c r="E9"/>
  <c r="C9"/>
  <c r="E7"/>
  <c r="C7"/>
  <c r="E8"/>
  <c r="C8"/>
  <c r="E17"/>
  <c r="C17"/>
  <c r="E16"/>
  <c r="C16"/>
  <c r="E5"/>
  <c r="C5"/>
  <c r="E4"/>
  <c r="C4"/>
  <c r="E3"/>
  <c r="C3"/>
  <c r="E20" i="5"/>
  <c r="C20"/>
  <c r="E16"/>
  <c r="C16"/>
  <c r="E15"/>
  <c r="C15"/>
  <c r="E14"/>
  <c r="C14"/>
  <c r="E13"/>
  <c r="E12"/>
  <c r="C12"/>
  <c r="E11"/>
  <c r="C11"/>
  <c r="E9"/>
  <c r="C9"/>
  <c r="E10"/>
  <c r="C10"/>
  <c r="E19"/>
  <c r="C19"/>
  <c r="E18"/>
  <c r="C18"/>
  <c r="E7"/>
  <c r="C7"/>
  <c r="E6"/>
  <c r="C6"/>
  <c r="E5"/>
  <c r="C5"/>
  <c r="E7" i="4"/>
  <c r="C7"/>
  <c r="E18"/>
  <c r="C18"/>
  <c r="E14"/>
  <c r="C14"/>
  <c r="E13"/>
  <c r="C13"/>
  <c r="E12"/>
  <c r="C12"/>
  <c r="E11"/>
  <c r="C11"/>
  <c r="E10"/>
  <c r="C10"/>
  <c r="E9"/>
  <c r="C9"/>
  <c r="E8"/>
  <c r="C8"/>
  <c r="E17"/>
  <c r="C17"/>
  <c r="E16"/>
  <c r="C16"/>
  <c r="E5"/>
  <c r="C5"/>
  <c r="E4"/>
  <c r="C4"/>
  <c r="E3"/>
  <c r="C3"/>
  <c r="E18" i="3"/>
  <c r="C18"/>
  <c r="G18" i="2"/>
  <c r="G19"/>
  <c r="G20"/>
  <c r="G21"/>
  <c r="F18"/>
  <c r="F18" i="3" s="1"/>
  <c r="F18" i="4" s="1"/>
  <c r="F20" i="5" s="1"/>
  <c r="F18" i="6" s="1"/>
  <c r="F18" i="7" s="1"/>
  <c r="F18" i="8" s="1"/>
  <c r="F18" i="9" s="1"/>
  <c r="F18" i="11" s="1"/>
  <c r="F18" i="10" s="1"/>
  <c r="F18" i="12" s="1"/>
  <c r="F18" i="13" s="1"/>
  <c r="F20" i="2"/>
  <c r="F20" i="3" s="1"/>
  <c r="F20" i="4" s="1"/>
  <c r="F22" i="5" s="1"/>
  <c r="F20" i="6" s="1"/>
  <c r="F20" i="7" s="1"/>
  <c r="F20" i="8" s="1"/>
  <c r="F20" i="9" s="1"/>
  <c r="F20" i="11" s="1"/>
  <c r="F20" i="10" s="1"/>
  <c r="F20" i="12" s="1"/>
  <c r="F20" i="13" s="1"/>
  <c r="E14" i="3"/>
  <c r="C14"/>
  <c r="E13"/>
  <c r="C13"/>
  <c r="E12"/>
  <c r="C12"/>
  <c r="E11"/>
  <c r="C11"/>
  <c r="E10"/>
  <c r="C10"/>
  <c r="E9"/>
  <c r="C9"/>
  <c r="E7"/>
  <c r="C7"/>
  <c r="E8"/>
  <c r="C8"/>
  <c r="E17"/>
  <c r="C17"/>
  <c r="E16"/>
  <c r="C16"/>
  <c r="E5"/>
  <c r="C5"/>
  <c r="E4"/>
  <c r="C4"/>
  <c r="E3"/>
  <c r="C3"/>
  <c r="E14" i="2"/>
  <c r="C14"/>
  <c r="E13"/>
  <c r="C13"/>
  <c r="E12"/>
  <c r="C12"/>
  <c r="E11"/>
  <c r="C11"/>
  <c r="E10"/>
  <c r="C10"/>
  <c r="E9"/>
  <c r="C9"/>
  <c r="E7"/>
  <c r="C7"/>
  <c r="E8"/>
  <c r="C8"/>
  <c r="E17"/>
  <c r="C17"/>
  <c r="E16"/>
  <c r="C16"/>
  <c r="E5"/>
  <c r="C5"/>
  <c r="E4"/>
  <c r="C4"/>
  <c r="E3"/>
  <c r="C3"/>
  <c r="J5" i="1"/>
  <c r="J4" i="2"/>
  <c r="J4" i="3" s="1"/>
  <c r="J6" i="1"/>
  <c r="J5" i="2"/>
  <c r="J5" i="3"/>
  <c r="J5" i="4"/>
  <c r="J7" i="5"/>
  <c r="J5" i="6"/>
  <c r="J5" i="7" s="1"/>
  <c r="J5" i="8"/>
  <c r="J5" i="9" s="1"/>
  <c r="J5" i="11" s="1"/>
  <c r="J5" i="10" s="1"/>
  <c r="J5" i="12" s="1"/>
  <c r="J5" i="13" s="1"/>
  <c r="J7" i="1"/>
  <c r="J6" i="2"/>
  <c r="J6" i="3"/>
  <c r="J6" i="4" s="1"/>
  <c r="J8" i="5"/>
  <c r="J6" i="6" s="1"/>
  <c r="J6" i="7" s="1"/>
  <c r="J6" i="8" s="1"/>
  <c r="J6" i="9" s="1"/>
  <c r="J6" i="11" s="1"/>
  <c r="J6" i="10" s="1"/>
  <c r="J6" i="12" s="1"/>
  <c r="J6" i="13" s="1"/>
  <c r="J8" i="1"/>
  <c r="J7" i="2"/>
  <c r="J7" i="3" s="1"/>
  <c r="J7" i="4" s="1"/>
  <c r="J9" i="5" s="1"/>
  <c r="J7" i="6" s="1"/>
  <c r="J7" i="7" s="1"/>
  <c r="J7" i="8" s="1"/>
  <c r="J7" i="9" s="1"/>
  <c r="J7" i="11" s="1"/>
  <c r="J7" i="10" s="1"/>
  <c r="J7" i="12" s="1"/>
  <c r="J7" i="13" s="1"/>
  <c r="J9" i="1"/>
  <c r="J8" i="2"/>
  <c r="J8" i="3"/>
  <c r="J8" i="4" s="1"/>
  <c r="J10" i="5" s="1"/>
  <c r="J8" i="6" s="1"/>
  <c r="J8" i="7" s="1"/>
  <c r="J8" i="8" s="1"/>
  <c r="J8" i="9" s="1"/>
  <c r="J8" i="11" s="1"/>
  <c r="J8" i="10" s="1"/>
  <c r="J8" i="12" s="1"/>
  <c r="J8" i="13" s="1"/>
  <c r="J10" i="1"/>
  <c r="J9" i="2"/>
  <c r="J9" i="3" s="1"/>
  <c r="J9" i="4"/>
  <c r="J11" i="5" s="1"/>
  <c r="J9" i="6" s="1"/>
  <c r="J9" i="7" s="1"/>
  <c r="J9" i="8" s="1"/>
  <c r="J9" i="9" s="1"/>
  <c r="J9" i="11" s="1"/>
  <c r="J9" i="10" s="1"/>
  <c r="J9" i="12" s="1"/>
  <c r="J9" i="13" s="1"/>
  <c r="J11" i="1"/>
  <c r="J10" i="2"/>
  <c r="J10" i="3"/>
  <c r="J10" i="4" s="1"/>
  <c r="J12" i="5"/>
  <c r="J10" i="6" s="1"/>
  <c r="J10" i="7" s="1"/>
  <c r="J10" i="8" s="1"/>
  <c r="J10" i="9" s="1"/>
  <c r="J10" i="11" s="1"/>
  <c r="J10" i="10" s="1"/>
  <c r="J10" i="12" s="1"/>
  <c r="J10" i="13" s="1"/>
  <c r="J12" i="1"/>
  <c r="J11" i="2"/>
  <c r="J11" i="3" s="1"/>
  <c r="J11" i="4" s="1"/>
  <c r="J13" i="5" s="1"/>
  <c r="J11" i="6" s="1"/>
  <c r="J11" i="7" s="1"/>
  <c r="J11" i="8" s="1"/>
  <c r="J11" i="9" s="1"/>
  <c r="J11" i="11" s="1"/>
  <c r="J11" i="10" s="1"/>
  <c r="J11" i="12" s="1"/>
  <c r="J11" i="13" s="1"/>
  <c r="J13" i="1"/>
  <c r="J12" i="2"/>
  <c r="J12" i="3"/>
  <c r="J12" i="4" s="1"/>
  <c r="J14" i="5" s="1"/>
  <c r="J12" i="6" s="1"/>
  <c r="J12" i="7" s="1"/>
  <c r="J12" i="8" s="1"/>
  <c r="J12" i="9" s="1"/>
  <c r="J12" i="11" s="1"/>
  <c r="J12" i="10" s="1"/>
  <c r="J12" i="12" s="1"/>
  <c r="J12" i="13" s="1"/>
  <c r="J14" i="1"/>
  <c r="J13" i="2"/>
  <c r="J13" i="3" s="1"/>
  <c r="J13" i="4"/>
  <c r="J15" i="5" s="1"/>
  <c r="J13" i="6" s="1"/>
  <c r="J13" i="7" s="1"/>
  <c r="J13" i="8" s="1"/>
  <c r="J13" i="9" s="1"/>
  <c r="J13" i="11" s="1"/>
  <c r="J13" i="10" s="1"/>
  <c r="J13" i="12" s="1"/>
  <c r="J13" i="13" s="1"/>
  <c r="J15" i="1"/>
  <c r="J14" i="2"/>
  <c r="J14" i="3"/>
  <c r="J14" i="4" s="1"/>
  <c r="J16" i="5"/>
  <c r="J14" i="6" s="1"/>
  <c r="J14" i="7" s="1"/>
  <c r="J14" i="8" s="1"/>
  <c r="J14" i="9" s="1"/>
  <c r="J14" i="11" s="1"/>
  <c r="J14" i="10" s="1"/>
  <c r="J14" i="12" s="1"/>
  <c r="J14" i="13" s="1"/>
  <c r="J16" i="1"/>
  <c r="J15" i="2"/>
  <c r="J15" i="3" s="1"/>
  <c r="J15" i="4" s="1"/>
  <c r="J17" i="5" s="1"/>
  <c r="J15" i="6" s="1"/>
  <c r="J15" i="7" s="1"/>
  <c r="J15" i="8" s="1"/>
  <c r="J15" i="9" s="1"/>
  <c r="J15" i="11" s="1"/>
  <c r="J15" i="10" s="1"/>
  <c r="J15" i="12" s="1"/>
  <c r="J15" i="13" s="1"/>
  <c r="J17" i="1"/>
  <c r="J16" i="2"/>
  <c r="J16" i="3"/>
  <c r="J16" i="4" s="1"/>
  <c r="J18" i="5" s="1"/>
  <c r="J16" i="6" s="1"/>
  <c r="J16" i="7" s="1"/>
  <c r="J16" i="8" s="1"/>
  <c r="J16" i="9" s="1"/>
  <c r="J16" i="11" s="1"/>
  <c r="J16" i="10" s="1"/>
  <c r="J16" i="12" s="1"/>
  <c r="J16" i="13" s="1"/>
  <c r="J18" i="1"/>
  <c r="J17" i="2"/>
  <c r="J17" i="3" s="1"/>
  <c r="J17" i="4"/>
  <c r="J19" i="5" s="1"/>
  <c r="J17" i="6" s="1"/>
  <c r="J17" i="7" s="1"/>
  <c r="J17" i="8" s="1"/>
  <c r="J17" i="9" s="1"/>
  <c r="J17" i="11" s="1"/>
  <c r="J17" i="10" s="1"/>
  <c r="J17" i="12" s="1"/>
  <c r="J17" i="13" s="1"/>
  <c r="F4" i="2"/>
  <c r="F4" i="3" s="1"/>
  <c r="F4" i="4"/>
  <c r="F6" i="5" s="1"/>
  <c r="F5" i="2"/>
  <c r="F5" i="3" s="1"/>
  <c r="F5" i="4"/>
  <c r="F6" i="2"/>
  <c r="F6" i="3" s="1"/>
  <c r="F7" i="2"/>
  <c r="F7" i="3" s="1"/>
  <c r="F7" i="4" s="1"/>
  <c r="F8" i="2"/>
  <c r="F8" i="3" s="1"/>
  <c r="F9" i="2"/>
  <c r="F9" i="3" s="1"/>
  <c r="F9" i="4" s="1"/>
  <c r="F10" i="2"/>
  <c r="F10" i="3" s="1"/>
  <c r="F10" i="4"/>
  <c r="F12" i="5" s="1"/>
  <c r="F11" i="2"/>
  <c r="F11" i="3" s="1"/>
  <c r="F11" i="4"/>
  <c r="F12" i="2"/>
  <c r="F12" i="3" s="1"/>
  <c r="F12" i="4"/>
  <c r="F14" i="5" s="1"/>
  <c r="F12" i="6" s="1"/>
  <c r="F12" i="7" s="1"/>
  <c r="F12" i="8" s="1"/>
  <c r="F12" i="9" s="1"/>
  <c r="F13" i="2"/>
  <c r="F13" i="3" s="1"/>
  <c r="F13" i="4"/>
  <c r="F15" i="5" s="1"/>
  <c r="F13" i="6" s="1"/>
  <c r="F14" i="2"/>
  <c r="F14" i="3" s="1"/>
  <c r="F14" i="4"/>
  <c r="F16" i="5" s="1"/>
  <c r="F14" i="6" s="1"/>
  <c r="F15" i="2"/>
  <c r="F15" i="3" s="1"/>
  <c r="F15" i="4"/>
  <c r="F17" i="5" s="1"/>
  <c r="F15" i="6" s="1"/>
  <c r="F16" i="2"/>
  <c r="F16" i="3" s="1"/>
  <c r="F16" i="4"/>
  <c r="F18" i="5" s="1"/>
  <c r="F16" i="6" s="1"/>
  <c r="F16" i="7" s="1"/>
  <c r="F17" i="2"/>
  <c r="F17" i="3" s="1"/>
  <c r="F17" i="4"/>
  <c r="F19" i="5" s="1"/>
  <c r="F17" i="6" s="1"/>
  <c r="F24" i="5"/>
  <c r="F3" i="2"/>
  <c r="F3" i="3"/>
  <c r="F3" i="4" s="1"/>
  <c r="F5" i="5"/>
  <c r="F3" i="6" s="1"/>
  <c r="F3" i="7" s="1"/>
  <c r="F3" i="8" s="1"/>
  <c r="D5" i="1"/>
  <c r="D4" i="2"/>
  <c r="D4" i="3" s="1"/>
  <c r="D4" i="4" s="1"/>
  <c r="D6" i="1"/>
  <c r="D5" i="2"/>
  <c r="D5" i="3"/>
  <c r="D5" i="4" s="1"/>
  <c r="D7" i="5" s="1"/>
  <c r="D5" i="6" s="1"/>
  <c r="D5" i="7" s="1"/>
  <c r="D5" i="8" s="1"/>
  <c r="D5" i="9" s="1"/>
  <c r="D5" i="11" s="1"/>
  <c r="D5" i="10" s="1"/>
  <c r="D5" i="12" s="1"/>
  <c r="D5" i="13" s="1"/>
  <c r="D7" i="1"/>
  <c r="D6" i="2"/>
  <c r="D6" i="3" s="1"/>
  <c r="D6" i="4"/>
  <c r="D8" i="5" s="1"/>
  <c r="D6" i="6" s="1"/>
  <c r="D6" i="7" s="1"/>
  <c r="D6" i="8" s="1"/>
  <c r="D6" i="9" s="1"/>
  <c r="D6" i="11" s="1"/>
  <c r="D6" i="10" s="1"/>
  <c r="D6" i="12" s="1"/>
  <c r="D6" i="13" s="1"/>
  <c r="D8" i="1"/>
  <c r="D7" i="2"/>
  <c r="D7" i="3"/>
  <c r="D7" i="4" s="1"/>
  <c r="D9" i="5"/>
  <c r="D7" i="6" s="1"/>
  <c r="D7" i="7" s="1"/>
  <c r="D7" i="8" s="1"/>
  <c r="D7" i="9" s="1"/>
  <c r="D7" i="11" s="1"/>
  <c r="D7" i="10" s="1"/>
  <c r="D7" i="12" s="1"/>
  <c r="D7" i="13" s="1"/>
  <c r="D9" i="1"/>
  <c r="D8" i="2"/>
  <c r="D8" i="3" s="1"/>
  <c r="D8" i="4" s="1"/>
  <c r="D10" i="5" s="1"/>
  <c r="D8" i="6" s="1"/>
  <c r="D8" i="7" s="1"/>
  <c r="D8" i="8" s="1"/>
  <c r="D8" i="9" s="1"/>
  <c r="D8" i="11" s="1"/>
  <c r="D8" i="10" s="1"/>
  <c r="D8" i="12" s="1"/>
  <c r="D8" i="13" s="1"/>
  <c r="D10" i="1"/>
  <c r="D9" i="2"/>
  <c r="D9" i="3" s="1"/>
  <c r="D9" i="4" s="1"/>
  <c r="D11" i="5" s="1"/>
  <c r="D9" i="6" s="1"/>
  <c r="D9" i="7" s="1"/>
  <c r="D9" i="8" s="1"/>
  <c r="D9" i="9" s="1"/>
  <c r="D9" i="11" s="1"/>
  <c r="D9" i="10" s="1"/>
  <c r="D9" i="12" s="1"/>
  <c r="D9" i="13" s="1"/>
  <c r="D11" i="1"/>
  <c r="D10" i="2"/>
  <c r="D10" i="3" s="1"/>
  <c r="D10" i="4" s="1"/>
  <c r="D12" i="1"/>
  <c r="D11" i="2"/>
  <c r="D11" i="3" s="1"/>
  <c r="D11" i="4" s="1"/>
  <c r="D13" i="5" s="1"/>
  <c r="D11" i="6" s="1"/>
  <c r="D11" i="7" s="1"/>
  <c r="D11" i="8" s="1"/>
  <c r="D11" i="9" s="1"/>
  <c r="D13" i="1"/>
  <c r="D12" i="2"/>
  <c r="D12" i="3"/>
  <c r="D14" i="1"/>
  <c r="D13" i="2"/>
  <c r="D13" i="3" s="1"/>
  <c r="D13" i="4"/>
  <c r="D15" i="5" s="1"/>
  <c r="D15" i="1"/>
  <c r="D14" i="2"/>
  <c r="D14" i="3"/>
  <c r="D14" i="4" s="1"/>
  <c r="D16" i="5"/>
  <c r="D14" i="6" s="1"/>
  <c r="D16" i="1"/>
  <c r="D15" i="2"/>
  <c r="D17" i="1"/>
  <c r="D16" i="2"/>
  <c r="D16" i="3"/>
  <c r="D18" i="1"/>
  <c r="D17" i="2"/>
  <c r="D17" i="3" s="1"/>
  <c r="D17" i="4"/>
  <c r="D4" i="1"/>
  <c r="D3" i="2"/>
  <c r="D3" i="3" s="1"/>
  <c r="D3" i="4" s="1"/>
  <c r="D24" i="5"/>
  <c r="D22" i="6"/>
  <c r="D22" i="7" s="1"/>
  <c r="D22" i="8"/>
  <c r="L5" i="1"/>
  <c r="L4" i="2"/>
  <c r="L4" i="3" s="1"/>
  <c r="M4" s="1"/>
  <c r="L6" i="1"/>
  <c r="L5" i="2"/>
  <c r="L5" i="3" s="1"/>
  <c r="L5" i="4"/>
  <c r="L7" i="5" s="1"/>
  <c r="L5" i="6" s="1"/>
  <c r="L5" i="7" s="1"/>
  <c r="L5" i="8" s="1"/>
  <c r="L5" i="9" s="1"/>
  <c r="L5" i="11" s="1"/>
  <c r="L5" i="10" s="1"/>
  <c r="L5" i="12" s="1"/>
  <c r="L5" i="13" s="1"/>
  <c r="K2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2"/>
  <c r="I23"/>
  <c r="G3"/>
  <c r="G4"/>
  <c r="G6"/>
  <c r="G7"/>
  <c r="G8"/>
  <c r="G10"/>
  <c r="G11"/>
  <c r="G12"/>
  <c r="G13"/>
  <c r="G14"/>
  <c r="G15"/>
  <c r="G16"/>
  <c r="G18"/>
  <c r="G19"/>
  <c r="G20"/>
  <c r="G21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5"/>
  <c r="G6"/>
  <c r="G23" s="1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23" s="1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6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5" i="5"/>
  <c r="I25"/>
  <c r="H16"/>
  <c r="G5"/>
  <c r="G6"/>
  <c r="G7"/>
  <c r="G8"/>
  <c r="G25" s="1"/>
  <c r="G9"/>
  <c r="G10"/>
  <c r="G11"/>
  <c r="G12"/>
  <c r="G13"/>
  <c r="G14"/>
  <c r="G15"/>
  <c r="G16"/>
  <c r="G17"/>
  <c r="G18"/>
  <c r="G19"/>
  <c r="G20"/>
  <c r="G21"/>
  <c r="G22"/>
  <c r="G23"/>
  <c r="G24"/>
  <c r="E25"/>
  <c r="C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K23" i="4"/>
  <c r="I23"/>
  <c r="H13"/>
  <c r="H2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H3"/>
  <c r="H5"/>
  <c r="H7"/>
  <c r="H9"/>
  <c r="H11"/>
  <c r="H14"/>
  <c r="H17"/>
  <c r="G3"/>
  <c r="G4"/>
  <c r="G5"/>
  <c r="G6"/>
  <c r="G23" s="1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L21" i="2"/>
  <c r="L21" i="3" s="1"/>
  <c r="L21" i="4" s="1"/>
  <c r="L23" i="5" s="1"/>
  <c r="L21" i="6" s="1"/>
  <c r="L21" i="7" s="1"/>
  <c r="L21" i="8" s="1"/>
  <c r="L21" i="9" s="1"/>
  <c r="L21" i="11" s="1"/>
  <c r="L21" i="10" s="1"/>
  <c r="L21" i="12" s="1"/>
  <c r="L21" i="13" s="1"/>
  <c r="J19" i="1"/>
  <c r="J18" i="2"/>
  <c r="J18" i="3"/>
  <c r="J18" i="4" s="1"/>
  <c r="J20" i="5" s="1"/>
  <c r="J18" i="6" s="1"/>
  <c r="J18" i="7" s="1"/>
  <c r="J18" i="8" s="1"/>
  <c r="J18" i="9" s="1"/>
  <c r="J18" i="11" s="1"/>
  <c r="J18" i="10" s="1"/>
  <c r="J18" i="12" s="1"/>
  <c r="J18" i="13" s="1"/>
  <c r="J20" i="1"/>
  <c r="J19" i="2"/>
  <c r="J19" i="3" s="1"/>
  <c r="G4" i="2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G16"/>
  <c r="H16"/>
  <c r="G17"/>
  <c r="H17"/>
  <c r="D19" i="1"/>
  <c r="D18" i="2"/>
  <c r="D18" i="3" s="1"/>
  <c r="F19" i="2"/>
  <c r="F19" i="3" s="1"/>
  <c r="D20" i="1"/>
  <c r="D19" i="2"/>
  <c r="D19" i="3"/>
  <c r="D19" i="4" s="1"/>
  <c r="D21" i="5" s="1"/>
  <c r="D19" i="6" s="1"/>
  <c r="D19" i="7" s="1"/>
  <c r="D19" i="8" s="1"/>
  <c r="D19" i="9" s="1"/>
  <c r="D19" i="11" s="1"/>
  <c r="D19" i="10" s="1"/>
  <c r="D19" i="12" s="1"/>
  <c r="D19" i="13" s="1"/>
  <c r="D21" i="1"/>
  <c r="D20" i="2"/>
  <c r="D20" i="3"/>
  <c r="D20" i="4" s="1"/>
  <c r="F21" i="2"/>
  <c r="F21" i="3"/>
  <c r="F21" i="4" s="1"/>
  <c r="G22" i="2"/>
  <c r="F22"/>
  <c r="F22" i="3"/>
  <c r="L7" i="1"/>
  <c r="L8"/>
  <c r="L9"/>
  <c r="L10"/>
  <c r="L11"/>
  <c r="L10" i="2"/>
  <c r="L10" i="3" s="1"/>
  <c r="L10" i="4" s="1"/>
  <c r="L12" i="5" s="1"/>
  <c r="L10" i="6" s="1"/>
  <c r="L10" i="7" s="1"/>
  <c r="L10" i="8" s="1"/>
  <c r="L10" i="9" s="1"/>
  <c r="L10" i="11" s="1"/>
  <c r="L10" i="10" s="1"/>
  <c r="L10" i="12" s="1"/>
  <c r="L10" i="13" s="1"/>
  <c r="L12" i="1"/>
  <c r="L11" i="2"/>
  <c r="L11" i="3"/>
  <c r="L11" i="4" s="1"/>
  <c r="L13" i="5" s="1"/>
  <c r="L11" i="6" s="1"/>
  <c r="L11" i="7" s="1"/>
  <c r="L11" i="8" s="1"/>
  <c r="L11" i="9" s="1"/>
  <c r="L11" i="11" s="1"/>
  <c r="L11" i="10" s="1"/>
  <c r="L11" i="12" s="1"/>
  <c r="L11" i="13" s="1"/>
  <c r="L13" i="1"/>
  <c r="L14"/>
  <c r="L15"/>
  <c r="L16"/>
  <c r="L17"/>
  <c r="L18"/>
  <c r="L19"/>
  <c r="L20"/>
  <c r="L19" i="2"/>
  <c r="L19" i="3"/>
  <c r="L19" i="4" s="1"/>
  <c r="L21" i="5" s="1"/>
  <c r="L19" i="6" s="1"/>
  <c r="L19" i="7" s="1"/>
  <c r="L19" i="8" s="1"/>
  <c r="L19" i="9" s="1"/>
  <c r="L19" i="11" s="1"/>
  <c r="L19" i="10" s="1"/>
  <c r="L19" i="12" s="1"/>
  <c r="L19" i="13" s="1"/>
  <c r="L21" i="1"/>
  <c r="L22"/>
  <c r="L23"/>
  <c r="J21"/>
  <c r="J20" i="2"/>
  <c r="J20" i="3" s="1"/>
  <c r="J20" i="4" s="1"/>
  <c r="J22" i="5" s="1"/>
  <c r="J20" i="6" s="1"/>
  <c r="J20" i="7" s="1"/>
  <c r="J20" i="8" s="1"/>
  <c r="J20" i="9" s="1"/>
  <c r="J20" i="11" s="1"/>
  <c r="J20" i="10" s="1"/>
  <c r="J20" i="12" s="1"/>
  <c r="J20" i="13" s="1"/>
  <c r="J22" i="1"/>
  <c r="J21" i="2"/>
  <c r="J21" i="3"/>
  <c r="J21" i="4" s="1"/>
  <c r="J23" i="5" s="1"/>
  <c r="J21" i="6" s="1"/>
  <c r="J21" i="7" s="1"/>
  <c r="J21" i="8" s="1"/>
  <c r="J21" i="9" s="1"/>
  <c r="J21" i="11" s="1"/>
  <c r="J21" i="10" s="1"/>
  <c r="J21" i="12" s="1"/>
  <c r="J21" i="13" s="1"/>
  <c r="J23" i="1"/>
  <c r="J22" i="2"/>
  <c r="J22" i="3" s="1"/>
  <c r="J22" i="4" s="1"/>
  <c r="J24" i="5" s="1"/>
  <c r="J22" i="6" s="1"/>
  <c r="J22" i="7" s="1"/>
  <c r="J22" i="8" s="1"/>
  <c r="J22" i="9" s="1"/>
  <c r="J22" i="11" s="1"/>
  <c r="J22" i="10" s="1"/>
  <c r="J22" i="12" s="1"/>
  <c r="J22" i="13" s="1"/>
  <c r="F5" i="1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2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F20"/>
  <c r="H20"/>
  <c r="F21"/>
  <c r="H21"/>
  <c r="F22"/>
  <c r="F23"/>
  <c r="H23"/>
  <c r="D22"/>
  <c r="D21" i="2"/>
  <c r="D21" i="3" s="1"/>
  <c r="D23" i="1"/>
  <c r="L4" i="14"/>
  <c r="L24"/>
  <c r="K24"/>
  <c r="J4"/>
  <c r="J24" s="1"/>
  <c r="I24"/>
  <c r="F4"/>
  <c r="D4"/>
  <c r="H4" s="1"/>
  <c r="H24" s="1"/>
  <c r="G4"/>
  <c r="G24"/>
  <c r="F24"/>
  <c r="E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2"/>
  <c r="I23"/>
  <c r="H3"/>
  <c r="G3"/>
  <c r="G23" s="1"/>
  <c r="F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4" i="1"/>
  <c r="I24"/>
  <c r="F4"/>
  <c r="H4"/>
  <c r="G4"/>
  <c r="G24"/>
  <c r="E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L4"/>
  <c r="J4"/>
  <c r="J3" i="2"/>
  <c r="G23" i="12"/>
  <c r="L14" i="2"/>
  <c r="L14" i="3"/>
  <c r="L14" i="4" s="1"/>
  <c r="L16" i="5" s="1"/>
  <c r="L14" i="6" s="1"/>
  <c r="L14" i="7" s="1"/>
  <c r="L14" i="8" s="1"/>
  <c r="L14" i="9" s="1"/>
  <c r="L14" i="11" s="1"/>
  <c r="L14" i="10" s="1"/>
  <c r="L14" i="12" s="1"/>
  <c r="L14" i="13" s="1"/>
  <c r="L8" i="2"/>
  <c r="L8" i="3"/>
  <c r="L8" i="4" s="1"/>
  <c r="L10" i="5" s="1"/>
  <c r="L8" i="6" s="1"/>
  <c r="L8" i="7" s="1"/>
  <c r="L8" i="8" s="1"/>
  <c r="L8" i="9" s="1"/>
  <c r="L8" i="11" s="1"/>
  <c r="L8" i="10" s="1"/>
  <c r="L8" i="12" s="1"/>
  <c r="L8" i="13" s="1"/>
  <c r="D22" i="2"/>
  <c r="H22"/>
  <c r="G23" i="11"/>
  <c r="L16" i="2"/>
  <c r="L16" i="3"/>
  <c r="L16" i="4" s="1"/>
  <c r="L18" i="5" s="1"/>
  <c r="L16" i="6" s="1"/>
  <c r="L16" i="7" s="1"/>
  <c r="L16" i="8" s="1"/>
  <c r="L16" i="9" s="1"/>
  <c r="L16" i="11" s="1"/>
  <c r="L16" i="10" s="1"/>
  <c r="L16" i="12" s="1"/>
  <c r="L16" i="13" s="1"/>
  <c r="L12" i="2"/>
  <c r="L12" i="3"/>
  <c r="L12" i="4" s="1"/>
  <c r="L14" i="5" s="1"/>
  <c r="L12" i="6" s="1"/>
  <c r="L12" i="7" s="1"/>
  <c r="L12" i="8" s="1"/>
  <c r="L12" i="9" s="1"/>
  <c r="L12" i="11" s="1"/>
  <c r="L12" i="10" s="1"/>
  <c r="L12" i="12" s="1"/>
  <c r="L12" i="13" s="1"/>
  <c r="L6" i="2"/>
  <c r="L6" i="3"/>
  <c r="L6" i="4" s="1"/>
  <c r="L8" i="5" s="1"/>
  <c r="L6" i="6" s="1"/>
  <c r="L6" i="7" s="1"/>
  <c r="L6" i="8" s="1"/>
  <c r="L6" i="9" s="1"/>
  <c r="L6" i="11" s="1"/>
  <c r="L6" i="10" s="1"/>
  <c r="L6" i="12" s="1"/>
  <c r="L6" i="13" s="1"/>
  <c r="L3" i="2"/>
  <c r="L17"/>
  <c r="L17" i="3" s="1"/>
  <c r="L17" i="4" s="1"/>
  <c r="L19" i="5" s="1"/>
  <c r="L17" i="6" s="1"/>
  <c r="L17" i="7" s="1"/>
  <c r="L17" i="8" s="1"/>
  <c r="L17" i="9" s="1"/>
  <c r="L17" i="11" s="1"/>
  <c r="L17" i="10" s="1"/>
  <c r="L17" i="12" s="1"/>
  <c r="L17" i="13" s="1"/>
  <c r="L15" i="2"/>
  <c r="L15" i="3" s="1"/>
  <c r="L15" i="4" s="1"/>
  <c r="L17" i="5" s="1"/>
  <c r="L15" i="6" s="1"/>
  <c r="L15" i="7" s="1"/>
  <c r="L15" i="8" s="1"/>
  <c r="L15" i="9" s="1"/>
  <c r="L15" i="11" s="1"/>
  <c r="L15" i="10" s="1"/>
  <c r="L15" i="12" s="1"/>
  <c r="L15" i="13" s="1"/>
  <c r="L13" i="2"/>
  <c r="L13" i="3" s="1"/>
  <c r="L13" i="4" s="1"/>
  <c r="L15" i="5" s="1"/>
  <c r="L13" i="6" s="1"/>
  <c r="L13" i="7" s="1"/>
  <c r="L13" i="8" s="1"/>
  <c r="L13" i="9" s="1"/>
  <c r="L13" i="11" s="1"/>
  <c r="L13" i="10" s="1"/>
  <c r="L13" i="12" s="1"/>
  <c r="L13" i="13" s="1"/>
  <c r="L9" i="2"/>
  <c r="L9" i="3" s="1"/>
  <c r="L9" i="4" s="1"/>
  <c r="L11" i="5" s="1"/>
  <c r="L9" i="6" s="1"/>
  <c r="L9" i="7" s="1"/>
  <c r="L9" i="8" s="1"/>
  <c r="L9" i="9" s="1"/>
  <c r="L9" i="11" s="1"/>
  <c r="L9" i="10" s="1"/>
  <c r="L9" i="12" s="1"/>
  <c r="L9" i="13" s="1"/>
  <c r="L7" i="2"/>
  <c r="L7" i="3" s="1"/>
  <c r="D24" i="1"/>
  <c r="J24"/>
  <c r="L24"/>
  <c r="H20" i="2"/>
  <c r="H19"/>
  <c r="L22"/>
  <c r="L22" i="3" s="1"/>
  <c r="L22" i="4" s="1"/>
  <c r="L24" i="5" s="1"/>
  <c r="L22" i="6" s="1"/>
  <c r="L22" i="7" s="1"/>
  <c r="L22" i="8" s="1"/>
  <c r="L22" i="9" s="1"/>
  <c r="L22" i="11" s="1"/>
  <c r="L22" i="10" s="1"/>
  <c r="L22" i="12" s="1"/>
  <c r="L22" i="13" s="1"/>
  <c r="L20" i="2"/>
  <c r="L20" i="3" s="1"/>
  <c r="L20" i="4" s="1"/>
  <c r="L22" i="5" s="1"/>
  <c r="L20" i="6" s="1"/>
  <c r="L20" i="7" s="1"/>
  <c r="L20" i="8" s="1"/>
  <c r="L20" i="9" s="1"/>
  <c r="L20" i="11" s="1"/>
  <c r="L20" i="10" s="1"/>
  <c r="L20" i="12" s="1"/>
  <c r="L20" i="13" s="1"/>
  <c r="L18" i="2"/>
  <c r="L18" i="3" s="1"/>
  <c r="L18" i="4" s="1"/>
  <c r="L20" i="5" s="1"/>
  <c r="L18" i="6" s="1"/>
  <c r="L18" i="7" s="1"/>
  <c r="L18" i="8" s="1"/>
  <c r="L18" i="9" s="1"/>
  <c r="L18" i="11" s="1"/>
  <c r="L18" i="10" s="1"/>
  <c r="L18" i="12" s="1"/>
  <c r="L18" i="13" s="1"/>
  <c r="H20" i="3"/>
  <c r="D22"/>
  <c r="L3"/>
  <c r="L3" i="4" s="1"/>
  <c r="H22" i="3"/>
  <c r="L4" i="4"/>
  <c r="L6" i="5" s="1"/>
  <c r="J4" i="4"/>
  <c r="J6" i="5"/>
  <c r="J4" i="6" s="1"/>
  <c r="J4" i="7" s="1"/>
  <c r="J4" i="8" s="1"/>
  <c r="J4" i="9" s="1"/>
  <c r="J4" i="11" s="1"/>
  <c r="J4" i="10" s="1"/>
  <c r="J4" i="12" s="1"/>
  <c r="J4" i="13" s="1"/>
  <c r="E23"/>
  <c r="G23"/>
  <c r="J3" i="3"/>
  <c r="J23" i="2"/>
  <c r="D19" i="5"/>
  <c r="H17" i="4"/>
  <c r="D16"/>
  <c r="H16" i="3"/>
  <c r="D15"/>
  <c r="H15" i="2"/>
  <c r="M4" i="4"/>
  <c r="H21" i="2"/>
  <c r="F24" i="1"/>
  <c r="H19"/>
  <c r="H24"/>
  <c r="H18" i="2"/>
  <c r="H14" i="4"/>
  <c r="G23" i="6"/>
  <c r="G23" i="8"/>
  <c r="D22" i="9"/>
  <c r="D14" i="7"/>
  <c r="D14" i="8" s="1"/>
  <c r="D14" i="9" s="1"/>
  <c r="D14" i="11" s="1"/>
  <c r="D14" i="10" s="1"/>
  <c r="D14" i="12" s="1"/>
  <c r="D14" i="13" s="1"/>
  <c r="D13" i="6"/>
  <c r="D13" i="7" s="1"/>
  <c r="H15" i="5"/>
  <c r="D12" i="4"/>
  <c r="D14" i="5" s="1"/>
  <c r="H14" s="1"/>
  <c r="H12" i="3"/>
  <c r="H12" i="4"/>
  <c r="D15"/>
  <c r="D23" i="3"/>
  <c r="H15"/>
  <c r="D18" i="5"/>
  <c r="H18" s="1"/>
  <c r="H16" i="4"/>
  <c r="D17" i="6"/>
  <c r="H19" i="5"/>
  <c r="D22" i="11"/>
  <c r="D22" i="10" s="1"/>
  <c r="D22" i="12" s="1"/>
  <c r="D22" i="13" s="1"/>
  <c r="J3" i="4"/>
  <c r="H23" i="2"/>
  <c r="D17" i="7"/>
  <c r="D17" i="8" s="1"/>
  <c r="D13"/>
  <c r="D17" i="5"/>
  <c r="H15" i="4"/>
  <c r="D11" i="11"/>
  <c r="D11" i="10" s="1"/>
  <c r="D12" i="6"/>
  <c r="D12" i="7" s="1"/>
  <c r="D12" i="8" s="1"/>
  <c r="D12" i="9" s="1"/>
  <c r="H12" i="6"/>
  <c r="D15"/>
  <c r="H17" i="5"/>
  <c r="D13" i="9"/>
  <c r="D13" i="11" s="1"/>
  <c r="D13" i="10" s="1"/>
  <c r="D13" i="12" s="1"/>
  <c r="D17" i="9"/>
  <c r="D17" i="11" s="1"/>
  <c r="D17" i="10" s="1"/>
  <c r="D17" i="12" s="1"/>
  <c r="D17" i="13" s="1"/>
  <c r="D15" i="7"/>
  <c r="D15" i="8" s="1"/>
  <c r="D11" i="12"/>
  <c r="D11" i="13" s="1"/>
  <c r="H12" i="7"/>
  <c r="H12" i="8"/>
  <c r="D15" i="9"/>
  <c r="D12" i="11"/>
  <c r="D12" i="10"/>
  <c r="D13" i="13"/>
  <c r="D15" i="11"/>
  <c r="D15" i="10" s="1"/>
  <c r="D12" i="12"/>
  <c r="D12" i="13" s="1"/>
  <c r="D15" i="12"/>
  <c r="D15" i="13" s="1"/>
  <c r="L7" i="4" l="1"/>
  <c r="L9" i="5" s="1"/>
  <c r="L7" i="6" s="1"/>
  <c r="L7" i="7" s="1"/>
  <c r="L7" i="8" s="1"/>
  <c r="L7" i="9" s="1"/>
  <c r="L7" i="11" s="1"/>
  <c r="L7" i="10" s="1"/>
  <c r="L7" i="12" s="1"/>
  <c r="L7" i="13" s="1"/>
  <c r="L23" i="3"/>
  <c r="D21" i="4"/>
  <c r="D23" i="5" s="1"/>
  <c r="D21" i="6" s="1"/>
  <c r="D21" i="7" s="1"/>
  <c r="D21" i="8" s="1"/>
  <c r="D21" i="9" s="1"/>
  <c r="D21" i="11" s="1"/>
  <c r="D21" i="10" s="1"/>
  <c r="D21" i="12" s="1"/>
  <c r="D21" i="13" s="1"/>
  <c r="H21" i="3"/>
  <c r="F23" i="5"/>
  <c r="H20" i="4"/>
  <c r="D22" i="5"/>
  <c r="H19" i="3"/>
  <c r="F23"/>
  <c r="F19" i="4"/>
  <c r="J23" i="3"/>
  <c r="J19" i="4"/>
  <c r="J21" i="5" s="1"/>
  <c r="J19" i="6" s="1"/>
  <c r="J19" i="7" s="1"/>
  <c r="J19" i="8" s="1"/>
  <c r="J19" i="9" s="1"/>
  <c r="J19" i="11" s="1"/>
  <c r="J19" i="10" s="1"/>
  <c r="J19" i="12" s="1"/>
  <c r="J19" i="13" s="1"/>
  <c r="H3" i="4"/>
  <c r="D5" i="5"/>
  <c r="D12"/>
  <c r="D10" i="6" s="1"/>
  <c r="D10" i="7" s="1"/>
  <c r="D10" i="8" s="1"/>
  <c r="D10" i="9" s="1"/>
  <c r="D10" i="11" s="1"/>
  <c r="D10" i="10" s="1"/>
  <c r="D10" i="12" s="1"/>
  <c r="D10" i="13" s="1"/>
  <c r="H10" i="4"/>
  <c r="D6" i="5"/>
  <c r="D4" i="6" s="1"/>
  <c r="D4" i="7" s="1"/>
  <c r="D4" i="8" s="1"/>
  <c r="D4" i="9" s="1"/>
  <c r="D4" i="11" s="1"/>
  <c r="D4" i="10" s="1"/>
  <c r="D4" i="12" s="1"/>
  <c r="D4" i="13" s="1"/>
  <c r="H4" i="4"/>
  <c r="F3" i="9"/>
  <c r="F17" i="7"/>
  <c r="H17" i="6"/>
  <c r="F16" i="8"/>
  <c r="F15" i="7"/>
  <c r="H15" i="6"/>
  <c r="F14" i="7"/>
  <c r="H14" i="6"/>
  <c r="F13" i="7"/>
  <c r="H13" i="6"/>
  <c r="F12" i="11"/>
  <c r="H12" i="9"/>
  <c r="F11" i="5"/>
  <c r="H9" i="4"/>
  <c r="F9" i="5"/>
  <c r="H7" i="4"/>
  <c r="J23"/>
  <c r="M6" i="5"/>
  <c r="L4" i="6"/>
  <c r="L5" i="5"/>
  <c r="L23" i="4"/>
  <c r="D18"/>
  <c r="H18" i="3"/>
  <c r="J5" i="5"/>
  <c r="D16" i="6"/>
  <c r="F13" i="5"/>
  <c r="H11" i="4"/>
  <c r="F7" i="5"/>
  <c r="H5" i="4"/>
  <c r="H12" i="5"/>
  <c r="H8" i="3"/>
  <c r="H6"/>
  <c r="H6" i="5"/>
  <c r="F22" i="6"/>
  <c r="H24" i="5"/>
  <c r="L23" i="2"/>
  <c r="D23"/>
  <c r="D24" i="14"/>
  <c r="G23" i="7"/>
  <c r="H13" i="3"/>
  <c r="F10" i="6"/>
  <c r="H10" i="3"/>
  <c r="F8" i="4"/>
  <c r="F6"/>
  <c r="F4" i="6"/>
  <c r="H4" i="3"/>
  <c r="H23" s="1"/>
  <c r="D16" i="7" l="1"/>
  <c r="H16" i="6"/>
  <c r="L4" i="7"/>
  <c r="M4" i="6"/>
  <c r="F7"/>
  <c r="H9" i="5"/>
  <c r="H11"/>
  <c r="F9" i="6"/>
  <c r="F12" i="10"/>
  <c r="H12" i="11"/>
  <c r="H13" i="7"/>
  <c r="F13" i="8"/>
  <c r="F14"/>
  <c r="H14" i="7"/>
  <c r="F15" i="8"/>
  <c r="H15" i="7"/>
  <c r="F17" i="8"/>
  <c r="H17" i="7"/>
  <c r="D3" i="6"/>
  <c r="H5" i="5"/>
  <c r="F21"/>
  <c r="H19" i="4"/>
  <c r="H23" i="5"/>
  <c r="F21" i="6"/>
  <c r="F4" i="7"/>
  <c r="H4" i="6"/>
  <c r="F10" i="5"/>
  <c r="H8" i="4"/>
  <c r="F10" i="7"/>
  <c r="H10" i="6"/>
  <c r="F8" i="5"/>
  <c r="F23" i="4"/>
  <c r="H6"/>
  <c r="H22" i="6"/>
  <c r="F22" i="7"/>
  <c r="F5" i="6"/>
  <c r="H7" i="5"/>
  <c r="F25"/>
  <c r="F11" i="6"/>
  <c r="H13" i="5"/>
  <c r="J3" i="6"/>
  <c r="J25" i="5"/>
  <c r="D20"/>
  <c r="H18" i="4"/>
  <c r="H23" s="1"/>
  <c r="D23"/>
  <c r="L3" i="6"/>
  <c r="L25" i="5"/>
  <c r="F16" i="9"/>
  <c r="F3" i="11"/>
  <c r="D20" i="6"/>
  <c r="H22" i="5"/>
  <c r="H21" i="4"/>
  <c r="F3" i="10" l="1"/>
  <c r="F16" i="11"/>
  <c r="D20" i="7"/>
  <c r="H20" i="6"/>
  <c r="H20" i="5"/>
  <c r="D18" i="6"/>
  <c r="J23"/>
  <c r="J3" i="7"/>
  <c r="F11"/>
  <c r="H11" i="6"/>
  <c r="F22" i="8"/>
  <c r="H22" i="7"/>
  <c r="H8" i="5"/>
  <c r="F6" i="6"/>
  <c r="H10" i="7"/>
  <c r="F10" i="8"/>
  <c r="H10" i="5"/>
  <c r="F8" i="6"/>
  <c r="H21"/>
  <c r="F21" i="7"/>
  <c r="H3" i="6"/>
  <c r="D23"/>
  <c r="D3" i="7"/>
  <c r="F17" i="9"/>
  <c r="H17" i="8"/>
  <c r="F15" i="9"/>
  <c r="H15" i="8"/>
  <c r="F14" i="9"/>
  <c r="H14" i="8"/>
  <c r="H12" i="10"/>
  <c r="F12" i="12"/>
  <c r="F7" i="7"/>
  <c r="H7" i="6"/>
  <c r="M4" i="7"/>
  <c r="L4" i="8"/>
  <c r="D16"/>
  <c r="H16" i="7"/>
  <c r="D25" i="5"/>
  <c r="L3" i="7"/>
  <c r="L23" i="6"/>
  <c r="F5" i="7"/>
  <c r="H5" i="6"/>
  <c r="H4" i="7"/>
  <c r="F4" i="8"/>
  <c r="H21" i="5"/>
  <c r="F19" i="6"/>
  <c r="F23" s="1"/>
  <c r="F13" i="9"/>
  <c r="H13" i="8"/>
  <c r="F9" i="7"/>
  <c r="H9" i="6"/>
  <c r="H25" i="5"/>
  <c r="L3" i="8" l="1"/>
  <c r="L23" i="7"/>
  <c r="F9" i="8"/>
  <c r="H9" i="7"/>
  <c r="F13" i="11"/>
  <c r="H13" i="9"/>
  <c r="F4"/>
  <c r="H4" i="8"/>
  <c r="D16" i="9"/>
  <c r="H16" i="8"/>
  <c r="F7"/>
  <c r="H7" i="7"/>
  <c r="F14" i="11"/>
  <c r="H14" i="9"/>
  <c r="F15" i="11"/>
  <c r="H15" i="9"/>
  <c r="F17" i="11"/>
  <c r="H17" i="9"/>
  <c r="H21" i="7"/>
  <c r="F21" i="8"/>
  <c r="F8" i="7"/>
  <c r="H8" i="6"/>
  <c r="F10" i="9"/>
  <c r="H10" i="8"/>
  <c r="F6" i="7"/>
  <c r="H6" i="6"/>
  <c r="J3" i="8"/>
  <c r="J23" i="7"/>
  <c r="H18" i="6"/>
  <c r="D18" i="7"/>
  <c r="F3" i="12"/>
  <c r="F19" i="7"/>
  <c r="H19" i="6"/>
  <c r="H5" i="7"/>
  <c r="F5" i="8"/>
  <c r="L4" i="9"/>
  <c r="M4" i="8"/>
  <c r="F12" i="13"/>
  <c r="H12" s="1"/>
  <c r="H12" i="12"/>
  <c r="D3" i="8"/>
  <c r="D23" i="7"/>
  <c r="H3"/>
  <c r="F22" i="9"/>
  <c r="H22" i="8"/>
  <c r="F11"/>
  <c r="H11" i="7"/>
  <c r="H20"/>
  <c r="D20" i="8"/>
  <c r="F16" i="10"/>
  <c r="H23" i="6"/>
  <c r="F16" i="12" l="1"/>
  <c r="F11" i="9"/>
  <c r="H11" i="8"/>
  <c r="F22" i="11"/>
  <c r="H22" i="9"/>
  <c r="D20"/>
  <c r="H20" i="8"/>
  <c r="D3" i="9"/>
  <c r="H3" i="8"/>
  <c r="M4" i="9"/>
  <c r="L4" i="11"/>
  <c r="H19" i="7"/>
  <c r="F19" i="8"/>
  <c r="D18"/>
  <c r="H18" i="7"/>
  <c r="F21" i="9"/>
  <c r="H21" i="8"/>
  <c r="H4" i="9"/>
  <c r="F4" i="11"/>
  <c r="F13" i="10"/>
  <c r="H13" i="11"/>
  <c r="F9" i="9"/>
  <c r="H9" i="8"/>
  <c r="L3" i="9"/>
  <c r="L23" i="8"/>
  <c r="F5" i="9"/>
  <c r="H5" i="8"/>
  <c r="F3" i="13"/>
  <c r="J23" i="8"/>
  <c r="J3" i="9"/>
  <c r="F6" i="8"/>
  <c r="F23" s="1"/>
  <c r="H6" i="7"/>
  <c r="H23" s="1"/>
  <c r="F23"/>
  <c r="H10" i="9"/>
  <c r="F10" i="11"/>
  <c r="H8" i="7"/>
  <c r="F8" i="8"/>
  <c r="F17" i="10"/>
  <c r="H17" i="11"/>
  <c r="F15" i="10"/>
  <c r="H15" i="11"/>
  <c r="F14" i="10"/>
  <c r="H14" i="11"/>
  <c r="F7" i="9"/>
  <c r="H7" i="8"/>
  <c r="D16" i="11"/>
  <c r="H16" i="9"/>
  <c r="F15" i="12" l="1"/>
  <c r="H15" i="10"/>
  <c r="F5" i="11"/>
  <c r="H5" i="9"/>
  <c r="H21"/>
  <c r="F21" i="11"/>
  <c r="D18" i="9"/>
  <c r="H18" i="8"/>
  <c r="D23" i="9"/>
  <c r="D3" i="11"/>
  <c r="H3" i="9"/>
  <c r="F16" i="13"/>
  <c r="D16" i="10"/>
  <c r="H16" i="11"/>
  <c r="H7" i="9"/>
  <c r="F7" i="11"/>
  <c r="H14" i="10"/>
  <c r="F14" i="12"/>
  <c r="H17" i="10"/>
  <c r="F17" i="12"/>
  <c r="J3" i="11"/>
  <c r="J23" i="9"/>
  <c r="F8"/>
  <c r="H8" i="8"/>
  <c r="F10" i="10"/>
  <c r="H10" i="11"/>
  <c r="F6" i="9"/>
  <c r="H6" i="8"/>
  <c r="L3" i="11"/>
  <c r="L23" i="9"/>
  <c r="F9" i="11"/>
  <c r="H9" i="9"/>
  <c r="F13" i="12"/>
  <c r="H13" i="10"/>
  <c r="F4"/>
  <c r="H4" i="11"/>
  <c r="H19" i="8"/>
  <c r="F19" i="9"/>
  <c r="L4" i="10"/>
  <c r="M4" i="11"/>
  <c r="H20" i="9"/>
  <c r="D20" i="11"/>
  <c r="F22" i="10"/>
  <c r="H22" i="11"/>
  <c r="F11"/>
  <c r="H11" i="9"/>
  <c r="H23" i="8"/>
  <c r="D23"/>
  <c r="F11" i="10" l="1"/>
  <c r="H11" i="11"/>
  <c r="F22" i="12"/>
  <c r="H22" i="10"/>
  <c r="M4"/>
  <c r="L4" i="12"/>
  <c r="D20" i="10"/>
  <c r="H20" i="11"/>
  <c r="H19" i="9"/>
  <c r="F19" i="11"/>
  <c r="H4" i="10"/>
  <c r="F4" i="12"/>
  <c r="F13" i="13"/>
  <c r="H13" s="1"/>
  <c r="H13" i="12"/>
  <c r="F9" i="10"/>
  <c r="H9" i="11"/>
  <c r="L3" i="10"/>
  <c r="L23" i="11"/>
  <c r="H6" i="9"/>
  <c r="F6" i="11"/>
  <c r="H10" i="10"/>
  <c r="F10" i="12"/>
  <c r="F8" i="11"/>
  <c r="H8" i="9"/>
  <c r="J3" i="10"/>
  <c r="J23" i="11"/>
  <c r="D16" i="12"/>
  <c r="H16" i="10"/>
  <c r="H18" i="9"/>
  <c r="D18" i="11"/>
  <c r="F5" i="10"/>
  <c r="H5" i="11"/>
  <c r="F15" i="13"/>
  <c r="H15" s="1"/>
  <c r="H15" i="12"/>
  <c r="H23" i="9"/>
  <c r="F17" i="13"/>
  <c r="H17" s="1"/>
  <c r="H17" i="12"/>
  <c r="F14" i="13"/>
  <c r="H14" s="1"/>
  <c r="H14" i="12"/>
  <c r="F7" i="10"/>
  <c r="H7" i="11"/>
  <c r="D3" i="10"/>
  <c r="D23" i="11"/>
  <c r="H3"/>
  <c r="F21" i="10"/>
  <c r="H21" i="11"/>
  <c r="F23" i="9"/>
  <c r="H21" i="10" l="1"/>
  <c r="F21" i="12"/>
  <c r="D3"/>
  <c r="H3" i="10"/>
  <c r="H7"/>
  <c r="F7" i="12"/>
  <c r="H18" i="11"/>
  <c r="D18" i="10"/>
  <c r="F10" i="13"/>
  <c r="H10" s="1"/>
  <c r="H10" i="12"/>
  <c r="F6" i="10"/>
  <c r="H6" i="11"/>
  <c r="F23"/>
  <c r="D20" i="12"/>
  <c r="H20" i="10"/>
  <c r="F22" i="13"/>
  <c r="H22" s="1"/>
  <c r="H22" i="12"/>
  <c r="H11" i="10"/>
  <c r="F11" i="12"/>
  <c r="F5"/>
  <c r="H5" i="10"/>
  <c r="D16" i="13"/>
  <c r="H16" s="1"/>
  <c r="H16" i="12"/>
  <c r="J23" i="10"/>
  <c r="J3" i="12"/>
  <c r="F8" i="10"/>
  <c r="H8" i="11"/>
  <c r="H23" s="1"/>
  <c r="L3" i="12"/>
  <c r="L23" i="10"/>
  <c r="F9" i="12"/>
  <c r="H9" i="10"/>
  <c r="F4" i="13"/>
  <c r="H4" i="12"/>
  <c r="H19" i="11"/>
  <c r="F19" i="10"/>
  <c r="L4" i="13"/>
  <c r="M4" s="1"/>
  <c r="M4" i="12"/>
  <c r="H19" i="10" l="1"/>
  <c r="F19" i="12"/>
  <c r="H4" i="13"/>
  <c r="F9"/>
  <c r="H9" s="1"/>
  <c r="H9" i="12"/>
  <c r="L3" i="13"/>
  <c r="L23" s="1"/>
  <c r="L23" i="12"/>
  <c r="F8"/>
  <c r="H8" i="10"/>
  <c r="H5" i="12"/>
  <c r="F5" i="13"/>
  <c r="H5" s="1"/>
  <c r="F11"/>
  <c r="H11" s="1"/>
  <c r="H11" i="12"/>
  <c r="F6"/>
  <c r="H6" i="10"/>
  <c r="D3" i="13"/>
  <c r="H3" i="12"/>
  <c r="F21" i="13"/>
  <c r="H21" s="1"/>
  <c r="H21" i="12"/>
  <c r="F23" i="10"/>
  <c r="J3" i="13"/>
  <c r="J23" s="1"/>
  <c r="J23" i="12"/>
  <c r="H20"/>
  <c r="D20" i="13"/>
  <c r="H20" s="1"/>
  <c r="H18" i="10"/>
  <c r="D18" i="12"/>
  <c r="F7" i="13"/>
  <c r="H7" s="1"/>
  <c r="H7" i="12"/>
  <c r="H23" i="10"/>
  <c r="D23"/>
  <c r="H3" i="13" l="1"/>
  <c r="F6"/>
  <c r="H6" s="1"/>
  <c r="H6" i="12"/>
  <c r="F23"/>
  <c r="F8" i="13"/>
  <c r="H8" s="1"/>
  <c r="H8" i="12"/>
  <c r="H18"/>
  <c r="D18" i="13"/>
  <c r="H18" s="1"/>
  <c r="F19"/>
  <c r="H19" s="1"/>
  <c r="H19" i="12"/>
  <c r="H23" s="1"/>
  <c r="D23"/>
  <c r="F23" i="13"/>
  <c r="D23" l="1"/>
  <c r="H23"/>
</calcChain>
</file>

<file path=xl/sharedStrings.xml><?xml version="1.0" encoding="utf-8"?>
<sst xmlns="http://schemas.openxmlformats.org/spreadsheetml/2006/main" count="423" uniqueCount="56">
  <si>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</si>
  <si>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</si>
  <si>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</si>
  <si>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</si>
  <si>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</si>
  <si>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</si>
  <si>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</si>
  <si>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</si>
  <si>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</si>
  <si>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</si>
  <si>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</si>
  <si>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</si>
  <si>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</si>
  <si>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итого</t>
  </si>
  <si>
    <t>Содержание общ имущ дома</t>
  </si>
  <si>
    <t>Отопление</t>
  </si>
  <si>
    <t xml:space="preserve">Содер общ им </t>
  </si>
  <si>
    <t>Горячее водоснабжение</t>
  </si>
  <si>
    <t>Газ</t>
  </si>
  <si>
    <t>Уборка и санит.очистка зем.уч-ка</t>
  </si>
  <si>
    <t>Электроснабжение</t>
  </si>
  <si>
    <t>Холодная вода</t>
  </si>
  <si>
    <t>Канализир.холодной воды</t>
  </si>
  <si>
    <t>Канализир.горячей  воды</t>
  </si>
  <si>
    <t>Текущ.ремонт общ.имущ.дома</t>
  </si>
  <si>
    <t>Управление многокварт.домом</t>
  </si>
  <si>
    <t>Содерж и тек.рем.в/дом.газоснабж</t>
  </si>
  <si>
    <t>Содержание и ремонт АППЗ</t>
  </si>
  <si>
    <t>Содержание и ремонт лифтов</t>
  </si>
  <si>
    <t xml:space="preserve">Очистка мусоропроводов </t>
  </si>
  <si>
    <t>Художников д.22 к.2</t>
  </si>
  <si>
    <t>Дератизация</t>
  </si>
  <si>
    <t>Обслуж. Узл.учета тепл.энерг</t>
  </si>
  <si>
    <t>Декабрь 2010г</t>
  </si>
  <si>
    <t>Эксплуатация коллектив</t>
  </si>
  <si>
    <t>Эксплуатация коллективных</t>
  </si>
  <si>
    <t>Эксплуатация коллективн</t>
  </si>
  <si>
    <t>Январь 2012г</t>
  </si>
  <si>
    <t>Февраль 2012г</t>
  </si>
  <si>
    <t>Март 2012г</t>
  </si>
  <si>
    <t>Апрель 2012г</t>
  </si>
  <si>
    <t>Май 2012г</t>
  </si>
  <si>
    <t>Июнь 2012г</t>
  </si>
  <si>
    <t>!</t>
  </si>
  <si>
    <t>Художников 22 к.2</t>
  </si>
  <si>
    <t>при расч. берется графа-тек. начисл.</t>
  </si>
  <si>
    <t>Электроснабжение инд. Потр.</t>
  </si>
  <si>
    <t>Водоотведение кв.</t>
  </si>
  <si>
    <t>Водоотведение общед.н.</t>
  </si>
  <si>
    <t>Электроснабжение инд.потр.</t>
  </si>
  <si>
    <t>Хол.водоснаб. О/Н</t>
  </si>
  <si>
    <t>Отопление О/Д нужды</t>
  </si>
  <si>
    <t>Хол.водоснабж.о/н</t>
  </si>
  <si>
    <t>Отопление о/д нужды</t>
  </si>
  <si>
    <t>Задолженность проживающих на 31 декабря 2012 г. составила   471328 руб. 13 коп.</t>
  </si>
  <si>
    <t>Художников 22 корп.2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</si>
</sst>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9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sz val="8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theme="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0" fontId="0" fillId="0" borderId="0" xfId="0" applyAlignment="1">
      <alignment horizontal="center" shrinkToFi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/>
    <xf numFmtId="2" fontId="0" fillId="0" borderId="1" xfId="0" applyNumberFormat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2" fontId="4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wrapText="1" shrinkToFit="1"/>
    </xf>
    <xf numFmtId="0" fontId="2" fillId="2" borderId="1" xfId="0" applyFont="1" applyFill="1" applyBorder="1" applyAlignment="1">
      <alignment horizontal="center" wrapText="1" shrinkToFit="1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wrapText="1" shrinkToFit="1"/>
    </xf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2" borderId="1" xfId="0" applyFill="1" applyBorder="1"/>
    <xf numFmtId="0" fontId="0" fillId="2" borderId="1" xfId="0" applyFill="1" applyBorder="1" applyAlignment="1">
      <alignment shrinkToFit="1"/>
    </xf>
    <xf numFmtId="0" fontId="5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shrinkToFit="1"/>
    </xf>
    <xf numFmtId="164" fontId="0" fillId="0" borderId="0" xfId="0" applyNumberFormat="1"/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2" fontId="6" fillId="0" borderId="1" xfId="0" applyNumberFormat="1" applyFont="1" applyBorder="1" applyAlignment="1">
      <alignment horizontal="left" shrinkToFit="1"/>
    </xf>
    <xf numFmtId="0" fontId="6" fillId="0" borderId="0" xfId="0" applyFont="1" applyAlignment="1">
      <alignment horizontal="left" shrinkToFit="1"/>
    </xf>
    <xf numFmtId="2" fontId="2" fillId="0" borderId="1" xfId="0" applyNumberFormat="1" applyFont="1" applyBorder="1" applyAlignment="1">
      <alignment horizontal="center" shrinkToFit="1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D19" sqref="D19"/>
    </sheetView>
  </sheetViews>
  <sheetFormatPr defaultRowHeight="12.75"/>
  <cols>
    <col min="1" max="1" width="4.85546875" customWidth="1"/>
    <col min="2" max="2" width="29" style="9" customWidth="1"/>
    <col min="3" max="3" width="10.28515625" style="4" customWidth="1"/>
    <col min="4" max="4" width="10" style="4" customWidth="1"/>
    <col min="5" max="5" width="9.85546875" customWidth="1"/>
    <col min="6" max="6" width="10.5703125" style="4" customWidth="1"/>
    <col min="7" max="7" width="10.42578125" style="4" customWidth="1"/>
    <col min="8" max="10" width="11" customWidth="1"/>
    <col min="11" max="12" width="10.140625" style="4" customWidth="1"/>
  </cols>
  <sheetData>
    <row r="1" spans="1:12">
      <c r="E1" s="15"/>
      <c r="F1" s="16" t="s">
        <v>30</v>
      </c>
      <c r="G1" s="16"/>
      <c r="I1" t="s">
        <v>33</v>
      </c>
    </row>
    <row r="3" spans="1:12">
      <c r="A3" s="1" t="s">
        <v>0</v>
      </c>
      <c r="B3" s="6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2">
      <c r="A4" s="1">
        <v>1</v>
      </c>
      <c r="B4" s="13" t="s">
        <v>14</v>
      </c>
      <c r="C4" s="10"/>
      <c r="D4" s="10">
        <f>C4</f>
        <v>0</v>
      </c>
      <c r="E4" s="11"/>
      <c r="F4" s="10">
        <f>E4</f>
        <v>0</v>
      </c>
      <c r="G4" s="10">
        <f>E4-C4</f>
        <v>0</v>
      </c>
      <c r="H4" s="11">
        <f>F4-D4</f>
        <v>0</v>
      </c>
      <c r="I4" s="11"/>
      <c r="J4" s="11">
        <f>I4</f>
        <v>0</v>
      </c>
      <c r="K4" s="10"/>
      <c r="L4" s="10">
        <f>K4</f>
        <v>0</v>
      </c>
    </row>
    <row r="5" spans="1:12">
      <c r="A5" s="1">
        <f>A4+1</f>
        <v>2</v>
      </c>
      <c r="B5" s="13" t="s">
        <v>15</v>
      </c>
      <c r="C5" s="10"/>
      <c r="D5" s="10">
        <f t="shared" ref="D5:D23" si="0">C5</f>
        <v>0</v>
      </c>
      <c r="E5" s="11"/>
      <c r="F5" s="10">
        <f t="shared" ref="F5:F23" si="1">E5</f>
        <v>0</v>
      </c>
      <c r="G5" s="10">
        <f t="shared" ref="G5:G23" si="2">E5-C5</f>
        <v>0</v>
      </c>
      <c r="H5" s="11">
        <f t="shared" ref="H5:H23" si="3">F5-D5</f>
        <v>0</v>
      </c>
      <c r="I5" s="11"/>
      <c r="J5" s="11">
        <f t="shared" ref="J5:J23" si="4">I5</f>
        <v>0</v>
      </c>
      <c r="K5" s="10"/>
      <c r="L5" s="10">
        <f t="shared" ref="L5:L23" si="5">K5</f>
        <v>0</v>
      </c>
    </row>
    <row r="6" spans="1:12">
      <c r="A6" s="1">
        <f t="shared" ref="A6:A23" si="6">A5+1</f>
        <v>3</v>
      </c>
      <c r="B6" s="13" t="s">
        <v>17</v>
      </c>
      <c r="C6" s="10"/>
      <c r="D6" s="10">
        <f t="shared" si="0"/>
        <v>0</v>
      </c>
      <c r="E6" s="11"/>
      <c r="F6" s="10">
        <f t="shared" si="1"/>
        <v>0</v>
      </c>
      <c r="G6" s="10">
        <f t="shared" si="2"/>
        <v>0</v>
      </c>
      <c r="H6" s="11">
        <f t="shared" si="3"/>
        <v>0</v>
      </c>
      <c r="I6" s="11"/>
      <c r="J6" s="11">
        <f t="shared" si="4"/>
        <v>0</v>
      </c>
      <c r="K6" s="10"/>
      <c r="L6" s="10">
        <f t="shared" si="5"/>
        <v>0</v>
      </c>
    </row>
    <row r="7" spans="1:12">
      <c r="A7" s="1">
        <f t="shared" si="6"/>
        <v>4</v>
      </c>
      <c r="B7" s="13" t="s">
        <v>18</v>
      </c>
      <c r="C7" s="10"/>
      <c r="D7" s="10">
        <f t="shared" si="0"/>
        <v>0</v>
      </c>
      <c r="E7" s="11"/>
      <c r="F7" s="10">
        <f t="shared" si="1"/>
        <v>0</v>
      </c>
      <c r="G7" s="10">
        <f t="shared" si="2"/>
        <v>0</v>
      </c>
      <c r="H7" s="11">
        <f t="shared" si="3"/>
        <v>0</v>
      </c>
      <c r="I7" s="11"/>
      <c r="J7" s="11">
        <f t="shared" si="4"/>
        <v>0</v>
      </c>
      <c r="K7" s="10"/>
      <c r="L7" s="10">
        <f t="shared" si="5"/>
        <v>0</v>
      </c>
    </row>
    <row r="8" spans="1:12">
      <c r="A8" s="1">
        <f t="shared" si="6"/>
        <v>5</v>
      </c>
      <c r="B8" s="14" t="s">
        <v>19</v>
      </c>
      <c r="C8" s="10"/>
      <c r="D8" s="10">
        <f t="shared" si="0"/>
        <v>0</v>
      </c>
      <c r="E8" s="11"/>
      <c r="F8" s="10">
        <f t="shared" si="1"/>
        <v>0</v>
      </c>
      <c r="G8" s="10">
        <f t="shared" si="2"/>
        <v>0</v>
      </c>
      <c r="H8" s="11">
        <f t="shared" si="3"/>
        <v>0</v>
      </c>
      <c r="I8" s="11"/>
      <c r="J8" s="11">
        <f t="shared" si="4"/>
        <v>0</v>
      </c>
      <c r="K8" s="10"/>
      <c r="L8" s="10">
        <f t="shared" si="5"/>
        <v>0</v>
      </c>
    </row>
    <row r="9" spans="1:12">
      <c r="A9" s="1">
        <f t="shared" si="6"/>
        <v>6</v>
      </c>
      <c r="B9" s="13" t="s">
        <v>29</v>
      </c>
      <c r="C9" s="10"/>
      <c r="D9" s="10">
        <f t="shared" si="0"/>
        <v>0</v>
      </c>
      <c r="E9" s="11"/>
      <c r="F9" s="10">
        <f t="shared" si="1"/>
        <v>0</v>
      </c>
      <c r="G9" s="10">
        <f t="shared" si="2"/>
        <v>0</v>
      </c>
      <c r="H9" s="11">
        <f t="shared" si="3"/>
        <v>0</v>
      </c>
      <c r="I9" s="11"/>
      <c r="J9" s="11">
        <f t="shared" si="4"/>
        <v>0</v>
      </c>
      <c r="K9" s="10"/>
      <c r="L9" s="10">
        <f t="shared" si="5"/>
        <v>0</v>
      </c>
    </row>
    <row r="10" spans="1:12">
      <c r="A10" s="1">
        <f t="shared" si="6"/>
        <v>7</v>
      </c>
      <c r="B10" s="13" t="s">
        <v>20</v>
      </c>
      <c r="C10" s="10"/>
      <c r="D10" s="10">
        <f t="shared" si="0"/>
        <v>0</v>
      </c>
      <c r="E10" s="11"/>
      <c r="F10" s="10">
        <f t="shared" si="1"/>
        <v>0</v>
      </c>
      <c r="G10" s="10">
        <f t="shared" si="2"/>
        <v>0</v>
      </c>
      <c r="H10" s="11">
        <f t="shared" si="3"/>
        <v>0</v>
      </c>
      <c r="I10" s="11"/>
      <c r="J10" s="11">
        <f t="shared" si="4"/>
        <v>0</v>
      </c>
      <c r="K10" s="10"/>
      <c r="L10" s="10">
        <f t="shared" si="5"/>
        <v>0</v>
      </c>
    </row>
    <row r="11" spans="1:12">
      <c r="A11" s="1">
        <f t="shared" si="6"/>
        <v>8</v>
      </c>
      <c r="B11" s="13" t="s">
        <v>21</v>
      </c>
      <c r="C11" s="10"/>
      <c r="D11" s="10">
        <f t="shared" si="0"/>
        <v>0</v>
      </c>
      <c r="E11" s="11"/>
      <c r="F11" s="10">
        <f t="shared" si="1"/>
        <v>0</v>
      </c>
      <c r="G11" s="10">
        <f t="shared" si="2"/>
        <v>0</v>
      </c>
      <c r="H11" s="11">
        <f t="shared" si="3"/>
        <v>0</v>
      </c>
      <c r="I11" s="11"/>
      <c r="J11" s="11">
        <f t="shared" si="4"/>
        <v>0</v>
      </c>
      <c r="K11" s="10"/>
      <c r="L11" s="10">
        <f t="shared" si="5"/>
        <v>0</v>
      </c>
    </row>
    <row r="12" spans="1:12">
      <c r="A12" s="1">
        <f t="shared" si="6"/>
        <v>9</v>
      </c>
      <c r="B12" s="13" t="s">
        <v>22</v>
      </c>
      <c r="C12" s="10"/>
      <c r="D12" s="10">
        <f t="shared" si="0"/>
        <v>0</v>
      </c>
      <c r="E12" s="11"/>
      <c r="F12" s="10">
        <f t="shared" si="1"/>
        <v>0</v>
      </c>
      <c r="G12" s="10">
        <f t="shared" si="2"/>
        <v>0</v>
      </c>
      <c r="H12" s="11">
        <f t="shared" si="3"/>
        <v>0</v>
      </c>
      <c r="I12" s="11"/>
      <c r="J12" s="11">
        <f t="shared" si="4"/>
        <v>0</v>
      </c>
      <c r="K12" s="10"/>
      <c r="L12" s="10">
        <f t="shared" si="5"/>
        <v>0</v>
      </c>
    </row>
    <row r="13" spans="1:12">
      <c r="A13" s="1">
        <f t="shared" si="6"/>
        <v>10</v>
      </c>
      <c r="B13" s="13" t="s">
        <v>23</v>
      </c>
      <c r="C13" s="10"/>
      <c r="D13" s="10">
        <f t="shared" si="0"/>
        <v>0</v>
      </c>
      <c r="E13" s="11"/>
      <c r="F13" s="10">
        <f t="shared" si="1"/>
        <v>0</v>
      </c>
      <c r="G13" s="10">
        <f t="shared" si="2"/>
        <v>0</v>
      </c>
      <c r="H13" s="11">
        <f t="shared" si="3"/>
        <v>0</v>
      </c>
      <c r="I13" s="11"/>
      <c r="J13" s="11">
        <f t="shared" si="4"/>
        <v>0</v>
      </c>
      <c r="K13" s="10"/>
      <c r="L13" s="10">
        <f t="shared" si="5"/>
        <v>0</v>
      </c>
    </row>
    <row r="14" spans="1:12">
      <c r="A14" s="1">
        <f t="shared" si="6"/>
        <v>11</v>
      </c>
      <c r="B14" s="13" t="s">
        <v>24</v>
      </c>
      <c r="C14" s="10"/>
      <c r="D14" s="10">
        <f t="shared" si="0"/>
        <v>0</v>
      </c>
      <c r="E14" s="11"/>
      <c r="F14" s="10">
        <f t="shared" si="1"/>
        <v>0</v>
      </c>
      <c r="G14" s="10">
        <f t="shared" si="2"/>
        <v>0</v>
      </c>
      <c r="H14" s="11">
        <f t="shared" si="3"/>
        <v>0</v>
      </c>
      <c r="I14" s="11"/>
      <c r="J14" s="11">
        <f t="shared" si="4"/>
        <v>0</v>
      </c>
      <c r="K14" s="10"/>
      <c r="L14" s="10">
        <f t="shared" si="5"/>
        <v>0</v>
      </c>
    </row>
    <row r="15" spans="1:12" ht="11.25" customHeight="1">
      <c r="A15" s="1">
        <f t="shared" si="6"/>
        <v>12</v>
      </c>
      <c r="B15" s="13" t="s">
        <v>25</v>
      </c>
      <c r="C15" s="10"/>
      <c r="D15" s="10">
        <f t="shared" si="0"/>
        <v>0</v>
      </c>
      <c r="E15" s="11"/>
      <c r="F15" s="10">
        <f t="shared" si="1"/>
        <v>0</v>
      </c>
      <c r="G15" s="10">
        <f t="shared" si="2"/>
        <v>0</v>
      </c>
      <c r="H15" s="11">
        <f t="shared" si="3"/>
        <v>0</v>
      </c>
      <c r="I15" s="11"/>
      <c r="J15" s="11">
        <f t="shared" si="4"/>
        <v>0</v>
      </c>
      <c r="K15" s="10"/>
      <c r="L15" s="10">
        <f t="shared" si="5"/>
        <v>0</v>
      </c>
    </row>
    <row r="16" spans="1:12">
      <c r="A16" s="1">
        <f t="shared" si="6"/>
        <v>13</v>
      </c>
      <c r="B16" s="13" t="s">
        <v>26</v>
      </c>
      <c r="C16" s="10"/>
      <c r="D16" s="10">
        <f t="shared" si="0"/>
        <v>0</v>
      </c>
      <c r="E16" s="11"/>
      <c r="F16" s="10">
        <f t="shared" si="1"/>
        <v>0</v>
      </c>
      <c r="G16" s="10">
        <f t="shared" si="2"/>
        <v>0</v>
      </c>
      <c r="H16" s="11">
        <f t="shared" si="3"/>
        <v>0</v>
      </c>
      <c r="I16" s="11"/>
      <c r="J16" s="11">
        <f t="shared" si="4"/>
        <v>0</v>
      </c>
      <c r="K16" s="10"/>
      <c r="L16" s="10">
        <f t="shared" si="5"/>
        <v>0</v>
      </c>
    </row>
    <row r="17" spans="1:12">
      <c r="A17" s="1">
        <f t="shared" si="6"/>
        <v>14</v>
      </c>
      <c r="B17" s="13" t="s">
        <v>27</v>
      </c>
      <c r="C17" s="10"/>
      <c r="D17" s="10">
        <f t="shared" si="0"/>
        <v>0</v>
      </c>
      <c r="E17" s="11"/>
      <c r="F17" s="10">
        <f t="shared" si="1"/>
        <v>0</v>
      </c>
      <c r="G17" s="10">
        <f t="shared" si="2"/>
        <v>0</v>
      </c>
      <c r="H17" s="11">
        <f t="shared" si="3"/>
        <v>0</v>
      </c>
      <c r="I17" s="11"/>
      <c r="J17" s="11">
        <f t="shared" si="4"/>
        <v>0</v>
      </c>
      <c r="K17" s="10"/>
      <c r="L17" s="10">
        <f t="shared" si="5"/>
        <v>0</v>
      </c>
    </row>
    <row r="18" spans="1:12">
      <c r="A18" s="1">
        <f t="shared" si="6"/>
        <v>15</v>
      </c>
      <c r="B18" s="13" t="s">
        <v>28</v>
      </c>
      <c r="C18" s="10"/>
      <c r="D18" s="10">
        <f t="shared" si="0"/>
        <v>0</v>
      </c>
      <c r="E18" s="11"/>
      <c r="F18" s="10">
        <f t="shared" si="1"/>
        <v>0</v>
      </c>
      <c r="G18" s="10">
        <f t="shared" si="2"/>
        <v>0</v>
      </c>
      <c r="H18" s="11">
        <f t="shared" si="3"/>
        <v>0</v>
      </c>
      <c r="I18" s="11"/>
      <c r="J18" s="11">
        <f t="shared" si="4"/>
        <v>0</v>
      </c>
      <c r="K18" s="10"/>
      <c r="L18" s="10">
        <f t="shared" si="5"/>
        <v>0</v>
      </c>
    </row>
    <row r="19" spans="1:12">
      <c r="A19" s="1">
        <f t="shared" si="6"/>
        <v>16</v>
      </c>
      <c r="B19" s="13"/>
      <c r="C19" s="10"/>
      <c r="D19" s="10">
        <f t="shared" si="0"/>
        <v>0</v>
      </c>
      <c r="E19" s="11"/>
      <c r="F19" s="10">
        <f t="shared" si="1"/>
        <v>0</v>
      </c>
      <c r="G19" s="10">
        <f t="shared" si="2"/>
        <v>0</v>
      </c>
      <c r="H19" s="11">
        <f t="shared" si="3"/>
        <v>0</v>
      </c>
      <c r="I19" s="11"/>
      <c r="J19" s="11">
        <f t="shared" si="4"/>
        <v>0</v>
      </c>
      <c r="K19" s="10"/>
      <c r="L19" s="10">
        <f t="shared" si="5"/>
        <v>0</v>
      </c>
    </row>
    <row r="20" spans="1:12">
      <c r="A20" s="1">
        <f t="shared" si="6"/>
        <v>17</v>
      </c>
      <c r="B20" s="13" t="s">
        <v>31</v>
      </c>
      <c r="C20" s="10"/>
      <c r="D20" s="10">
        <f t="shared" si="0"/>
        <v>0</v>
      </c>
      <c r="E20" s="11"/>
      <c r="F20" s="10">
        <f t="shared" si="1"/>
        <v>0</v>
      </c>
      <c r="G20" s="10">
        <f t="shared" si="2"/>
        <v>0</v>
      </c>
      <c r="H20" s="11">
        <f t="shared" si="3"/>
        <v>0</v>
      </c>
      <c r="I20" s="11"/>
      <c r="J20" s="11">
        <f t="shared" si="4"/>
        <v>0</v>
      </c>
      <c r="K20" s="10"/>
      <c r="L20" s="10">
        <f t="shared" si="5"/>
        <v>0</v>
      </c>
    </row>
    <row r="21" spans="1:12">
      <c r="A21" s="1">
        <f t="shared" si="6"/>
        <v>18</v>
      </c>
      <c r="B21" s="13" t="s">
        <v>32</v>
      </c>
      <c r="C21" s="10"/>
      <c r="D21" s="10">
        <f t="shared" si="0"/>
        <v>0</v>
      </c>
      <c r="E21" s="11"/>
      <c r="F21" s="10">
        <f t="shared" si="1"/>
        <v>0</v>
      </c>
      <c r="G21" s="10">
        <f t="shared" si="2"/>
        <v>0</v>
      </c>
      <c r="H21" s="11">
        <f t="shared" si="3"/>
        <v>0</v>
      </c>
      <c r="I21" s="11"/>
      <c r="J21" s="11">
        <f t="shared" si="4"/>
        <v>0</v>
      </c>
      <c r="K21" s="10"/>
      <c r="L21" s="10">
        <f t="shared" si="5"/>
        <v>0</v>
      </c>
    </row>
    <row r="22" spans="1:12">
      <c r="A22" s="1">
        <f t="shared" si="6"/>
        <v>19</v>
      </c>
      <c r="B22" s="13"/>
      <c r="C22" s="10"/>
      <c r="D22" s="10">
        <f t="shared" si="0"/>
        <v>0</v>
      </c>
      <c r="E22" s="11"/>
      <c r="F22" s="10">
        <f t="shared" si="1"/>
        <v>0</v>
      </c>
      <c r="G22" s="10">
        <f t="shared" si="2"/>
        <v>0</v>
      </c>
      <c r="H22" s="11">
        <f t="shared" si="3"/>
        <v>0</v>
      </c>
      <c r="I22" s="11"/>
      <c r="J22" s="11">
        <f t="shared" si="4"/>
        <v>0</v>
      </c>
      <c r="K22" s="10"/>
      <c r="L22" s="10">
        <f t="shared" si="5"/>
        <v>0</v>
      </c>
    </row>
    <row r="23" spans="1:12">
      <c r="A23" s="1">
        <f t="shared" si="6"/>
        <v>20</v>
      </c>
      <c r="B23" s="13"/>
      <c r="C23" s="10"/>
      <c r="D23" s="10">
        <f t="shared" si="0"/>
        <v>0</v>
      </c>
      <c r="E23" s="11"/>
      <c r="F23" s="10">
        <f t="shared" si="1"/>
        <v>0</v>
      </c>
      <c r="G23" s="10">
        <f t="shared" si="2"/>
        <v>0</v>
      </c>
      <c r="H23" s="11">
        <f t="shared" si="3"/>
        <v>0</v>
      </c>
      <c r="I23" s="11"/>
      <c r="J23" s="11">
        <f t="shared" si="4"/>
        <v>0</v>
      </c>
      <c r="K23" s="10"/>
      <c r="L23" s="10">
        <f t="shared" si="5"/>
        <v>0</v>
      </c>
    </row>
    <row r="24" spans="1:12">
      <c r="A24" s="1"/>
      <c r="B24" s="8" t="s">
        <v>12</v>
      </c>
      <c r="C24" s="10">
        <f t="shared" ref="C24:L24" si="7">SUM(C4:C23)</f>
        <v>0</v>
      </c>
      <c r="D24" s="10">
        <f t="shared" si="7"/>
        <v>0</v>
      </c>
      <c r="E24" s="11">
        <f t="shared" si="7"/>
        <v>0</v>
      </c>
      <c r="F24" s="10">
        <f t="shared" si="7"/>
        <v>0</v>
      </c>
      <c r="G24" s="10">
        <f t="shared" si="7"/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0">
        <f t="shared" si="7"/>
        <v>0</v>
      </c>
      <c r="L24" s="10">
        <f t="shared" si="7"/>
        <v>0</v>
      </c>
    </row>
    <row r="25" spans="1:12">
      <c r="A25" s="1"/>
      <c r="B25" s="8"/>
      <c r="C25" s="10"/>
      <c r="D25" s="10"/>
      <c r="E25" s="11"/>
      <c r="F25" s="10"/>
      <c r="G25" s="10"/>
      <c r="H25" s="11"/>
      <c r="I25" s="11"/>
      <c r="J25" s="11"/>
      <c r="K25" s="10"/>
      <c r="L25" s="10"/>
    </row>
    <row r="26" spans="1:12">
      <c r="A26" s="1"/>
      <c r="B26" s="8"/>
      <c r="C26" s="3"/>
      <c r="D26" s="3"/>
      <c r="E26" s="2"/>
      <c r="F26" s="3"/>
      <c r="G26" s="3"/>
      <c r="H26" s="2"/>
      <c r="I26" s="2"/>
      <c r="J26" s="2"/>
      <c r="K26" s="3"/>
      <c r="L26" s="3"/>
    </row>
    <row r="27" spans="1:12">
      <c r="A27" s="1"/>
      <c r="B27" s="8"/>
      <c r="C27" s="3"/>
      <c r="D27" s="3"/>
      <c r="E27" s="2"/>
      <c r="F27" s="3"/>
      <c r="G27" s="3"/>
      <c r="H27" s="2"/>
      <c r="I27" s="2"/>
      <c r="J27" s="2"/>
      <c r="K27" s="3"/>
      <c r="L27" s="3"/>
    </row>
    <row r="28" spans="1:12">
      <c r="A28" s="1"/>
      <c r="B28" s="8"/>
      <c r="C28" s="3"/>
      <c r="D28" s="3"/>
      <c r="E28" s="2"/>
      <c r="F28" s="3"/>
      <c r="G28" s="3"/>
      <c r="H28" s="2"/>
      <c r="I28" s="2"/>
      <c r="J28" s="2"/>
      <c r="K28" s="3"/>
      <c r="L28" s="3"/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4.140625" customWidth="1"/>
    <col min="2" max="2" width="21.5703125" customWidth="1"/>
    <col min="3" max="3" width="10.140625" bestFit="1" customWidth="1"/>
    <col min="4" max="4" width="11.42578125" customWidth="1"/>
    <col min="5" max="5" width="11.140625" customWidth="1"/>
    <col min="6" max="6" width="11.28515625" customWidth="1"/>
    <col min="7" max="7" width="10.5703125" customWidth="1"/>
    <col min="8" max="8" width="11.5703125" customWidth="1"/>
    <col min="9" max="9" width="10.28515625" customWidth="1"/>
    <col min="10" max="10" width="12.85546875" customWidth="1"/>
    <col min="11" max="11" width="10.140625" bestFit="1" customWidth="1"/>
    <col min="12" max="12" width="12.140625" customWidth="1"/>
    <col min="13" max="13" width="9.7109375" bestFit="1" customWidth="1"/>
  </cols>
  <sheetData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24439.22+29630.86</f>
        <v>54070.080000000002</v>
      </c>
      <c r="D3" s="26">
        <f>C3+август!D3</f>
        <v>442201.73000000004</v>
      </c>
      <c r="E3" s="11">
        <f>22274.83+27399.66</f>
        <v>49674.490000000005</v>
      </c>
      <c r="F3" s="26">
        <f>E3+август!F3</f>
        <v>405839.41</v>
      </c>
      <c r="G3" s="26">
        <f>E3-C3</f>
        <v>-4395.5899999999965</v>
      </c>
      <c r="H3" s="28">
        <f>F3-D3</f>
        <v>-36362.320000000065</v>
      </c>
      <c r="I3" s="11"/>
      <c r="J3" s="28">
        <f>I3+август!J3</f>
        <v>0</v>
      </c>
      <c r="K3" s="10"/>
      <c r="L3" s="26">
        <f>K3+август!L3</f>
        <v>0</v>
      </c>
    </row>
    <row r="4" spans="1:13" ht="15.75">
      <c r="A4" s="1">
        <f>A3+1</f>
        <v>2</v>
      </c>
      <c r="B4" s="17" t="s">
        <v>15</v>
      </c>
      <c r="C4" s="10">
        <f>0</f>
        <v>0</v>
      </c>
      <c r="D4" s="26">
        <f>C4+август!D4</f>
        <v>830944.62</v>
      </c>
      <c r="E4" s="11">
        <f>27308.75+39234.24</f>
        <v>66542.989999999991</v>
      </c>
      <c r="F4" s="26">
        <f>E4+август!F4</f>
        <v>827313.04</v>
      </c>
      <c r="G4" s="26">
        <f t="shared" ref="G4:H22" si="0">E4-C4</f>
        <v>66542.989999999991</v>
      </c>
      <c r="H4" s="28">
        <f t="shared" si="0"/>
        <v>-3631.5799999999581</v>
      </c>
      <c r="I4" s="11">
        <v>70038.81</v>
      </c>
      <c r="J4" s="28">
        <f>I4+август!J4</f>
        <v>2181774.9500000002</v>
      </c>
      <c r="K4" s="10">
        <v>150928.19</v>
      </c>
      <c r="L4" s="26">
        <f>K4+август!L4</f>
        <v>2115053.7799999998</v>
      </c>
      <c r="M4" s="37">
        <f>L4-J4</f>
        <v>-66721.170000000391</v>
      </c>
    </row>
    <row r="5" spans="1:13" ht="15.75">
      <c r="A5" s="1">
        <f t="shared" ref="A5:A22" si="1">A4+1</f>
        <v>3</v>
      </c>
      <c r="B5" s="17" t="s">
        <v>17</v>
      </c>
      <c r="C5" s="10">
        <f>30507.49+48747.82</f>
        <v>79255.31</v>
      </c>
      <c r="D5" s="26">
        <f>C5+август!D5</f>
        <v>947590.60000000009</v>
      </c>
      <c r="E5" s="11">
        <f>45380.55+58899.96</f>
        <v>104280.51000000001</v>
      </c>
      <c r="F5" s="26">
        <f>E5+август!F5</f>
        <v>853662.15999999992</v>
      </c>
      <c r="G5" s="26">
        <f t="shared" si="0"/>
        <v>25025.200000000012</v>
      </c>
      <c r="H5" s="28">
        <f t="shared" si="0"/>
        <v>-93928.440000000177</v>
      </c>
      <c r="I5" s="11"/>
      <c r="J5" s="28">
        <f>I5+август!J5</f>
        <v>0</v>
      </c>
      <c r="K5" s="10"/>
      <c r="L5" s="26">
        <f>K5+август!L5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C6+август!D6</f>
        <v>0</v>
      </c>
      <c r="E6" s="11"/>
      <c r="F6" s="26">
        <f>E6+август!F6</f>
        <v>0</v>
      </c>
      <c r="G6" s="26">
        <f t="shared" si="0"/>
        <v>0</v>
      </c>
      <c r="H6" s="28">
        <f t="shared" si="0"/>
        <v>0</v>
      </c>
      <c r="I6" s="11"/>
      <c r="J6" s="28">
        <f>I6+август!J6</f>
        <v>0</v>
      </c>
      <c r="K6" s="10"/>
      <c r="L6" s="26">
        <f>K6+август!L6</f>
        <v>0</v>
      </c>
    </row>
    <row r="7" spans="1:13" ht="15.75">
      <c r="A7" s="1">
        <f t="shared" si="1"/>
        <v>5</v>
      </c>
      <c r="B7" s="18" t="s">
        <v>19</v>
      </c>
      <c r="C7" s="10">
        <f>3329.07+4036.29</f>
        <v>7365.3600000000006</v>
      </c>
      <c r="D7" s="26">
        <f>C7+август!D7</f>
        <v>66548.12</v>
      </c>
      <c r="E7" s="11">
        <f>3235.45+4027.22</f>
        <v>7262.67</v>
      </c>
      <c r="F7" s="26">
        <f>E7+август!F7</f>
        <v>61668.74</v>
      </c>
      <c r="G7" s="26">
        <f t="shared" si="0"/>
        <v>-102.69000000000051</v>
      </c>
      <c r="H7" s="28">
        <f t="shared" si="0"/>
        <v>-4879.3799999999974</v>
      </c>
      <c r="I7" s="11"/>
      <c r="J7" s="28">
        <f>I7+август!J7</f>
        <v>0</v>
      </c>
      <c r="K7" s="10"/>
      <c r="L7" s="26">
        <f>K7+август!L7</f>
        <v>0</v>
      </c>
    </row>
    <row r="8" spans="1:13" ht="15.75">
      <c r="A8" s="1">
        <f t="shared" si="1"/>
        <v>6</v>
      </c>
      <c r="B8" s="17" t="s">
        <v>29</v>
      </c>
      <c r="C8" s="10">
        <f>2813+3410.48</f>
        <v>6223.48</v>
      </c>
      <c r="D8" s="26">
        <f>C8+август!D8</f>
        <v>52560.760000000009</v>
      </c>
      <c r="E8" s="11">
        <f>2616.72+3230.36</f>
        <v>5847.08</v>
      </c>
      <c r="F8" s="26">
        <f>E8+август!F8</f>
        <v>48323.360000000001</v>
      </c>
      <c r="G8" s="26">
        <f t="shared" si="0"/>
        <v>-376.39999999999964</v>
      </c>
      <c r="H8" s="28">
        <f t="shared" si="0"/>
        <v>-4237.4000000000087</v>
      </c>
      <c r="I8" s="11"/>
      <c r="J8" s="28">
        <f>I8+август!J8</f>
        <v>0</v>
      </c>
      <c r="K8" s="10"/>
      <c r="L8" s="26">
        <f>K8+август!L8</f>
        <v>0</v>
      </c>
    </row>
    <row r="9" spans="1:13" ht="15.75">
      <c r="A9" s="1">
        <f t="shared" si="1"/>
        <v>7</v>
      </c>
      <c r="B9" s="17" t="s">
        <v>46</v>
      </c>
      <c r="C9" s="10">
        <f>26809.13+34541.25</f>
        <v>61350.380000000005</v>
      </c>
      <c r="D9" s="26">
        <f>C9+август!D9</f>
        <v>551955.56000000006</v>
      </c>
      <c r="E9" s="11">
        <f>21017.38+28649.09</f>
        <v>49666.47</v>
      </c>
      <c r="F9" s="26">
        <f>E9+август!F9</f>
        <v>470090.80000000005</v>
      </c>
      <c r="G9" s="26">
        <f t="shared" si="0"/>
        <v>-11683.910000000003</v>
      </c>
      <c r="H9" s="28">
        <f t="shared" si="0"/>
        <v>-81864.760000000009</v>
      </c>
      <c r="I9" s="11">
        <v>44262.400000000001</v>
      </c>
      <c r="J9" s="28">
        <f>I9+август!J9</f>
        <v>501748.8</v>
      </c>
      <c r="K9" s="10"/>
      <c r="L9" s="26">
        <f>K9+август!L9</f>
        <v>0</v>
      </c>
    </row>
    <row r="10" spans="1:13" ht="15.75">
      <c r="A10" s="1">
        <f t="shared" si="1"/>
        <v>8</v>
      </c>
      <c r="B10" s="17" t="s">
        <v>21</v>
      </c>
      <c r="C10" s="10">
        <f>10966.53+17531.4</f>
        <v>28497.93</v>
      </c>
      <c r="D10" s="26">
        <f>C10+август!D10</f>
        <v>347540.80000000005</v>
      </c>
      <c r="E10" s="11">
        <f>15721.16+21699.8</f>
        <v>37420.959999999999</v>
      </c>
      <c r="F10" s="26">
        <f>E10+август!F10</f>
        <v>309006.41000000003</v>
      </c>
      <c r="G10" s="26">
        <f t="shared" si="0"/>
        <v>8923.0299999999988</v>
      </c>
      <c r="H10" s="28">
        <f t="shared" si="0"/>
        <v>-38534.390000000014</v>
      </c>
      <c r="I10" s="11">
        <v>30759.84</v>
      </c>
      <c r="J10" s="28">
        <f>I10+август!J10</f>
        <v>290303.2</v>
      </c>
      <c r="K10" s="10">
        <v>30759.84</v>
      </c>
      <c r="L10" s="26">
        <f>K10+август!L10</f>
        <v>290303.2</v>
      </c>
    </row>
    <row r="11" spans="1:13" ht="15.75">
      <c r="A11" s="1">
        <f t="shared" si="1"/>
        <v>9</v>
      </c>
      <c r="B11" s="17" t="s">
        <v>22</v>
      </c>
      <c r="C11" s="10">
        <f>-3890.83+(-3735.34)</f>
        <v>-7626.17</v>
      </c>
      <c r="D11" s="26">
        <f>C11+август!D11</f>
        <v>311416.38000000006</v>
      </c>
      <c r="E11" s="11">
        <f>15088.32+21371.97</f>
        <v>36460.29</v>
      </c>
      <c r="F11" s="26">
        <f>E11+август!F11</f>
        <v>308095.07999999996</v>
      </c>
      <c r="G11" s="26">
        <f t="shared" si="0"/>
        <v>44086.46</v>
      </c>
      <c r="H11" s="28">
        <f t="shared" si="0"/>
        <v>-3321.3000000001048</v>
      </c>
      <c r="I11" s="11">
        <v>31567.15</v>
      </c>
      <c r="J11" s="28">
        <f>I11+август!J11</f>
        <v>306664.81000000006</v>
      </c>
      <c r="K11" s="10"/>
      <c r="L11" s="26">
        <f>K11+август!L11</f>
        <v>192633.31</v>
      </c>
    </row>
    <row r="12" spans="1:13" ht="15.75">
      <c r="A12" s="1">
        <f t="shared" si="1"/>
        <v>10</v>
      </c>
      <c r="B12" s="17" t="s">
        <v>23</v>
      </c>
      <c r="C12" s="10">
        <f>-2651.84+(-2535.29)</f>
        <v>-5187.13</v>
      </c>
      <c r="D12" s="26">
        <f>C12+август!D12</f>
        <v>212281.77</v>
      </c>
      <c r="E12" s="11">
        <f>6814.13+9933.01</f>
        <v>16747.14</v>
      </c>
      <c r="F12" s="26">
        <f>E12+август!F12</f>
        <v>205394.93</v>
      </c>
      <c r="G12" s="26">
        <f t="shared" si="0"/>
        <v>21934.27</v>
      </c>
      <c r="H12" s="28">
        <f t="shared" si="0"/>
        <v>-6886.8399999999965</v>
      </c>
      <c r="I12" s="11">
        <v>30441.7</v>
      </c>
      <c r="J12" s="28">
        <f>I12+август!J12</f>
        <v>557262.36</v>
      </c>
      <c r="K12" s="10"/>
      <c r="L12" s="26">
        <f>K12+август!L12</f>
        <v>0</v>
      </c>
    </row>
    <row r="13" spans="1:13" ht="15.75">
      <c r="A13" s="1">
        <f t="shared" si="1"/>
        <v>11</v>
      </c>
      <c r="B13" s="17" t="s">
        <v>24</v>
      </c>
      <c r="C13" s="10">
        <f>13109.95+15894.94</f>
        <v>29004.89</v>
      </c>
      <c r="D13" s="26">
        <f>C13+август!D13</f>
        <v>262067.45</v>
      </c>
      <c r="E13" s="11">
        <f>12740.34+15851.19</f>
        <v>28591.53</v>
      </c>
      <c r="F13" s="26">
        <f>E13+август!F13</f>
        <v>242668.80000000002</v>
      </c>
      <c r="G13" s="26">
        <f t="shared" si="0"/>
        <v>-413.36000000000058</v>
      </c>
      <c r="H13" s="28">
        <f t="shared" si="0"/>
        <v>-19398.649999999994</v>
      </c>
      <c r="I13" s="11"/>
      <c r="J13" s="28">
        <f>I13+август!J13</f>
        <v>0</v>
      </c>
      <c r="K13" s="10"/>
      <c r="L13" s="26">
        <f>K13+август!L13</f>
        <v>0</v>
      </c>
    </row>
    <row r="14" spans="1:13" ht="15.75">
      <c r="A14" s="1">
        <f t="shared" si="1"/>
        <v>12</v>
      </c>
      <c r="B14" s="17" t="s">
        <v>25</v>
      </c>
      <c r="C14" s="10">
        <f>3045.17+3692.15</f>
        <v>6737.32</v>
      </c>
      <c r="D14" s="26">
        <f>C14+август!D14</f>
        <v>60873.62</v>
      </c>
      <c r="E14" s="11">
        <f>2959.61+3683.9</f>
        <v>6643.51</v>
      </c>
      <c r="F14" s="26">
        <f>E14+август!F14</f>
        <v>56410.060000000005</v>
      </c>
      <c r="G14" s="26">
        <f t="shared" si="0"/>
        <v>-93.809999999999491</v>
      </c>
      <c r="H14" s="28">
        <f t="shared" si="0"/>
        <v>-4463.5599999999977</v>
      </c>
      <c r="I14" s="11"/>
      <c r="J14" s="28">
        <f>I14+август!J14</f>
        <v>0</v>
      </c>
      <c r="K14" s="10"/>
      <c r="L14" s="26">
        <f>K14+август!L14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C15+август!D15</f>
        <v>0</v>
      </c>
      <c r="E15" s="11"/>
      <c r="F15" s="26">
        <f>E15+август!F15</f>
        <v>0</v>
      </c>
      <c r="G15" s="26">
        <f t="shared" si="0"/>
        <v>0</v>
      </c>
      <c r="H15" s="28">
        <f t="shared" si="0"/>
        <v>0</v>
      </c>
      <c r="I15" s="11"/>
      <c r="J15" s="28">
        <f>I15+август!J15</f>
        <v>0</v>
      </c>
      <c r="K15" s="10"/>
      <c r="L15" s="26">
        <f>K15+август!L15</f>
        <v>0</v>
      </c>
    </row>
    <row r="16" spans="1:13" ht="15.75">
      <c r="A16" s="1">
        <f t="shared" si="1"/>
        <v>14</v>
      </c>
      <c r="B16" s="17" t="s">
        <v>27</v>
      </c>
      <c r="C16" s="10">
        <f>1058.08+1282.85</f>
        <v>2340.9299999999998</v>
      </c>
      <c r="D16" s="26">
        <f>C16+август!D16</f>
        <v>19774.690000000002</v>
      </c>
      <c r="E16" s="11">
        <f>984.56+1216.58</f>
        <v>2201.14</v>
      </c>
      <c r="F16" s="26">
        <f>E16+август!F16</f>
        <v>18209.68</v>
      </c>
      <c r="G16" s="26">
        <f t="shared" si="0"/>
        <v>-139.78999999999996</v>
      </c>
      <c r="H16" s="28">
        <f t="shared" si="0"/>
        <v>-1565.010000000002</v>
      </c>
      <c r="I16" s="11"/>
      <c r="J16" s="28">
        <f>I16+август!J16</f>
        <v>0</v>
      </c>
      <c r="K16" s="10"/>
      <c r="L16" s="26">
        <f>K16+август!L16</f>
        <v>0</v>
      </c>
    </row>
    <row r="17" spans="1:12" ht="15.75">
      <c r="A17" s="1">
        <f t="shared" si="1"/>
        <v>15</v>
      </c>
      <c r="B17" s="17" t="s">
        <v>28</v>
      </c>
      <c r="C17" s="10">
        <f>7716.31+9355.47</f>
        <v>17071.78</v>
      </c>
      <c r="D17" s="26">
        <f>C17+август!D17</f>
        <v>132684.95000000001</v>
      </c>
      <c r="E17" s="11">
        <f>6812.57+8332.15</f>
        <v>15144.72</v>
      </c>
      <c r="F17" s="26">
        <f>E17+август!F17</f>
        <v>121293.15999999999</v>
      </c>
      <c r="G17" s="26">
        <f t="shared" si="0"/>
        <v>-1927.0599999999995</v>
      </c>
      <c r="H17" s="28">
        <f t="shared" si="0"/>
        <v>-11391.790000000023</v>
      </c>
      <c r="I17" s="11"/>
      <c r="J17" s="28">
        <f>I17+август!J17</f>
        <v>0</v>
      </c>
      <c r="K17" s="10"/>
      <c r="L17" s="26">
        <f>K17+август!L17</f>
        <v>0</v>
      </c>
    </row>
    <row r="18" spans="1:12">
      <c r="A18" s="1">
        <f t="shared" si="1"/>
        <v>16</v>
      </c>
      <c r="B18" s="19" t="s">
        <v>35</v>
      </c>
      <c r="C18" s="10">
        <f>2090.35+2534.44</f>
        <v>4624.79</v>
      </c>
      <c r="D18" s="26">
        <f>C18+август!D18</f>
        <v>40401.090000000004</v>
      </c>
      <c r="E18" s="11">
        <f>2032.11+2474.63</f>
        <v>4506.74</v>
      </c>
      <c r="F18" s="26">
        <f>E18+август!F18</f>
        <v>35556.910000000003</v>
      </c>
      <c r="G18" s="26">
        <f t="shared" si="0"/>
        <v>-118.05000000000018</v>
      </c>
      <c r="H18" s="28">
        <f t="shared" si="0"/>
        <v>-4844.18</v>
      </c>
      <c r="I18" s="11"/>
      <c r="J18" s="28">
        <f>I18+август!J18</f>
        <v>0</v>
      </c>
      <c r="K18" s="10"/>
      <c r="L18" s="26">
        <f>K18+август!L18</f>
        <v>0</v>
      </c>
    </row>
    <row r="19" spans="1:12">
      <c r="A19" s="1">
        <f t="shared" si="1"/>
        <v>17</v>
      </c>
      <c r="B19" s="8" t="s">
        <v>47</v>
      </c>
      <c r="C19" s="10">
        <f>25186.85+36051.77</f>
        <v>61238.619999999995</v>
      </c>
      <c r="D19" s="26">
        <f>C19+август!D19</f>
        <v>61238.619999999995</v>
      </c>
      <c r="E19" s="11">
        <f>5203.44+5184.98</f>
        <v>10388.419999999998</v>
      </c>
      <c r="F19" s="26">
        <f>E19+август!F19</f>
        <v>10388.419999999998</v>
      </c>
      <c r="G19" s="26">
        <f t="shared" si="0"/>
        <v>-50850.2</v>
      </c>
      <c r="H19" s="28">
        <f t="shared" si="0"/>
        <v>-50850.2</v>
      </c>
      <c r="I19" s="11"/>
      <c r="J19" s="28">
        <f>I19+август!J19</f>
        <v>0</v>
      </c>
      <c r="K19" s="10"/>
      <c r="L19" s="26">
        <f>K19+август!L19</f>
        <v>0</v>
      </c>
    </row>
    <row r="20" spans="1:12">
      <c r="A20" s="1">
        <f t="shared" si="1"/>
        <v>18</v>
      </c>
      <c r="B20" s="8" t="s">
        <v>48</v>
      </c>
      <c r="C20" s="10">
        <f>6698.89+8122.02</f>
        <v>14820.91</v>
      </c>
      <c r="D20" s="26">
        <f>C20+август!D20</f>
        <v>14820.91</v>
      </c>
      <c r="E20" s="11">
        <f>271.17+64.93</f>
        <v>336.1</v>
      </c>
      <c r="F20" s="26">
        <f>E20+август!F20</f>
        <v>336.1</v>
      </c>
      <c r="G20" s="26">
        <f t="shared" si="0"/>
        <v>-14484.81</v>
      </c>
      <c r="H20" s="28">
        <f t="shared" si="0"/>
        <v>-14484.81</v>
      </c>
      <c r="I20" s="11"/>
      <c r="J20" s="28">
        <f>I20+август!J20</f>
        <v>0</v>
      </c>
      <c r="K20" s="10"/>
      <c r="L20" s="26">
        <f>K20+август!L20</f>
        <v>0</v>
      </c>
    </row>
    <row r="21" spans="1:12">
      <c r="A21" s="1">
        <f t="shared" si="1"/>
        <v>19</v>
      </c>
      <c r="B21" s="8"/>
      <c r="C21" s="10"/>
      <c r="D21" s="26">
        <f>C21+август!D21</f>
        <v>0</v>
      </c>
      <c r="E21" s="11"/>
      <c r="F21" s="26">
        <f>E21+август!F21</f>
        <v>0</v>
      </c>
      <c r="G21" s="26">
        <f t="shared" si="0"/>
        <v>0</v>
      </c>
      <c r="H21" s="28">
        <f t="shared" si="0"/>
        <v>0</v>
      </c>
      <c r="I21" s="11"/>
      <c r="J21" s="28">
        <f>I21+август!J21</f>
        <v>0</v>
      </c>
      <c r="K21" s="10"/>
      <c r="L21" s="26">
        <f>K21+август!L21</f>
        <v>0</v>
      </c>
    </row>
    <row r="22" spans="1:12">
      <c r="A22" s="1">
        <f t="shared" si="1"/>
        <v>20</v>
      </c>
      <c r="B22" s="8"/>
      <c r="C22" s="10"/>
      <c r="D22" s="26">
        <f>C22+август!D22</f>
        <v>0</v>
      </c>
      <c r="E22" s="11"/>
      <c r="F22" s="26">
        <f>E22+август!F22</f>
        <v>0</v>
      </c>
      <c r="G22" s="26">
        <f t="shared" si="0"/>
        <v>0</v>
      </c>
      <c r="H22" s="28">
        <f t="shared" si="0"/>
        <v>0</v>
      </c>
      <c r="I22" s="11"/>
      <c r="J22" s="28">
        <f>I22+август!J22</f>
        <v>0</v>
      </c>
      <c r="K22" s="10"/>
      <c r="L22" s="26">
        <f>K22+август!L22</f>
        <v>0</v>
      </c>
    </row>
    <row r="23" spans="1:12">
      <c r="A23" s="31"/>
      <c r="B23" s="29" t="s">
        <v>13</v>
      </c>
      <c r="C23" s="26">
        <f t="shared" ref="C23:L23" si="2">SUM(C3:C22)</f>
        <v>359788.48</v>
      </c>
      <c r="D23" s="26">
        <f t="shared" si="2"/>
        <v>4354901.6700000009</v>
      </c>
      <c r="E23" s="28">
        <f t="shared" si="2"/>
        <v>441714.75999999995</v>
      </c>
      <c r="F23" s="26">
        <f t="shared" si="2"/>
        <v>3974257.0600000005</v>
      </c>
      <c r="G23" s="26">
        <f t="shared" si="2"/>
        <v>81926.280000000013</v>
      </c>
      <c r="H23" s="28">
        <f t="shared" si="2"/>
        <v>-380644.61000000045</v>
      </c>
      <c r="I23" s="28">
        <f t="shared" si="2"/>
        <v>207069.9</v>
      </c>
      <c r="J23" s="28">
        <f t="shared" si="2"/>
        <v>3837754.12</v>
      </c>
      <c r="K23" s="26">
        <f t="shared" si="2"/>
        <v>181688.03</v>
      </c>
      <c r="L23" s="26">
        <f t="shared" si="2"/>
        <v>2597990.29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4.140625" customWidth="1"/>
    <col min="2" max="2" width="21.28515625" customWidth="1"/>
    <col min="3" max="4" width="11.28515625" customWidth="1"/>
    <col min="5" max="5" width="11.85546875" customWidth="1"/>
    <col min="6" max="6" width="11.42578125" customWidth="1"/>
    <col min="7" max="7" width="10.7109375" customWidth="1"/>
    <col min="8" max="8" width="13.42578125" customWidth="1"/>
    <col min="9" max="9" width="10.140625" bestFit="1" customWidth="1"/>
    <col min="10" max="10" width="11.85546875" customWidth="1"/>
    <col min="11" max="11" width="9.28515625" bestFit="1" customWidth="1"/>
    <col min="12" max="12" width="11.140625" customWidth="1"/>
    <col min="13" max="13" width="10.7109375" bestFit="1" customWidth="1"/>
  </cols>
  <sheetData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25544.56+28026.84</f>
        <v>53571.4</v>
      </c>
      <c r="D3" s="26">
        <f>C3+сентябрь!D3</f>
        <v>495773.13000000006</v>
      </c>
      <c r="E3" s="11">
        <f>22716.66+26405.2</f>
        <v>49121.86</v>
      </c>
      <c r="F3" s="26">
        <f>E3+сентябрь!F3</f>
        <v>454961.26999999996</v>
      </c>
      <c r="G3" s="26">
        <f>E3-C3</f>
        <v>-4449.5400000000009</v>
      </c>
      <c r="H3" s="28">
        <f>F3-D3</f>
        <v>-40811.860000000102</v>
      </c>
      <c r="I3" s="11"/>
      <c r="J3" s="28">
        <f>I3+сентябрь!J3</f>
        <v>0</v>
      </c>
      <c r="K3" s="10"/>
      <c r="L3" s="26">
        <f>K3+сентябрь!L3</f>
        <v>0</v>
      </c>
    </row>
    <row r="4" spans="1:13" ht="15.75">
      <c r="A4" s="1">
        <f>A3+1</f>
        <v>2</v>
      </c>
      <c r="B4" s="17" t="s">
        <v>15</v>
      </c>
      <c r="C4" s="10">
        <f>-408.13</f>
        <v>-408.13</v>
      </c>
      <c r="D4" s="26">
        <f>C4+сентябрь!D4</f>
        <v>830536.49</v>
      </c>
      <c r="E4" s="11">
        <f>5823.2+10494.14</f>
        <v>16317.34</v>
      </c>
      <c r="F4" s="26">
        <f>E4+сентябрь!F4</f>
        <v>843630.38</v>
      </c>
      <c r="G4" s="26">
        <f t="shared" ref="G4:H22" si="0">E4-C4</f>
        <v>16725.47</v>
      </c>
      <c r="H4" s="28">
        <f t="shared" si="0"/>
        <v>13093.890000000014</v>
      </c>
      <c r="I4" s="11">
        <v>191191.67</v>
      </c>
      <c r="J4" s="28">
        <f>I4+сентябрь!J4</f>
        <v>2372966.62</v>
      </c>
      <c r="K4" s="10">
        <v>42923.5</v>
      </c>
      <c r="L4" s="26">
        <f>K4+сентябрь!L4</f>
        <v>2157977.2799999998</v>
      </c>
      <c r="M4" s="37">
        <f>L4-J4</f>
        <v>-214989.34000000032</v>
      </c>
    </row>
    <row r="5" spans="1:13" ht="15.75">
      <c r="A5" s="1">
        <f t="shared" ref="A5:A22" si="1">A4+1</f>
        <v>3</v>
      </c>
      <c r="B5" s="17" t="s">
        <v>17</v>
      </c>
      <c r="C5" s="10">
        <f>38085.72+51866.23</f>
        <v>89951.950000000012</v>
      </c>
      <c r="D5" s="26">
        <f>C5+сентябрь!D5</f>
        <v>1037542.55</v>
      </c>
      <c r="E5" s="11">
        <f>33336.17+49167.57</f>
        <v>82503.739999999991</v>
      </c>
      <c r="F5" s="26">
        <f>E5+сентябрь!F5</f>
        <v>936165.89999999991</v>
      </c>
      <c r="G5" s="26">
        <f t="shared" si="0"/>
        <v>-7448.210000000021</v>
      </c>
      <c r="H5" s="28">
        <f t="shared" si="0"/>
        <v>-101376.65000000014</v>
      </c>
      <c r="I5" s="11"/>
      <c r="J5" s="28">
        <f>I5+сентябрь!J5</f>
        <v>0</v>
      </c>
      <c r="K5" s="10"/>
      <c r="L5" s="26">
        <f>K5+сентябрь!L5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C6+сентябрь!D6</f>
        <v>0</v>
      </c>
      <c r="E6" s="11"/>
      <c r="F6" s="26">
        <f>E6+сентябрь!F6</f>
        <v>0</v>
      </c>
      <c r="G6" s="26">
        <f t="shared" si="0"/>
        <v>0</v>
      </c>
      <c r="H6" s="28">
        <f t="shared" si="0"/>
        <v>0</v>
      </c>
      <c r="I6" s="11"/>
      <c r="J6" s="28">
        <f>I6+сентябрь!J6</f>
        <v>0</v>
      </c>
      <c r="K6" s="10"/>
      <c r="L6" s="26">
        <f>K6+сентябрь!L6</f>
        <v>0</v>
      </c>
    </row>
    <row r="7" spans="1:13" ht="15.75">
      <c r="A7" s="1">
        <f t="shared" si="1"/>
        <v>5</v>
      </c>
      <c r="B7" s="18" t="s">
        <v>19</v>
      </c>
      <c r="C7" s="10">
        <f>3479.64+3812.52</f>
        <v>7292.16</v>
      </c>
      <c r="D7" s="26">
        <f>C7+сентябрь!D7</f>
        <v>73840.28</v>
      </c>
      <c r="E7" s="11">
        <f>3137.74+3675.2</f>
        <v>6812.94</v>
      </c>
      <c r="F7" s="26">
        <f>E7+сентябрь!F7</f>
        <v>68481.679999999993</v>
      </c>
      <c r="G7" s="26">
        <f t="shared" si="0"/>
        <v>-479.22000000000025</v>
      </c>
      <c r="H7" s="28">
        <f t="shared" si="0"/>
        <v>-5358.6000000000058</v>
      </c>
      <c r="I7" s="11"/>
      <c r="J7" s="28">
        <f>I7+сентябрь!J7</f>
        <v>0</v>
      </c>
      <c r="K7" s="10"/>
      <c r="L7" s="26">
        <f>K7+сентябрь!L7</f>
        <v>0</v>
      </c>
    </row>
    <row r="8" spans="1:13" ht="15.75">
      <c r="A8" s="1">
        <f t="shared" si="1"/>
        <v>6</v>
      </c>
      <c r="B8" s="17" t="s">
        <v>29</v>
      </c>
      <c r="C8" s="10">
        <f>2940.21+3224.49</f>
        <v>6164.7</v>
      </c>
      <c r="D8" s="26">
        <f>C8+сентябрь!D8</f>
        <v>58725.460000000006</v>
      </c>
      <c r="E8" s="11">
        <f>2626.15+3059.67</f>
        <v>5685.82</v>
      </c>
      <c r="F8" s="26">
        <f>E8+сентябрь!F8</f>
        <v>54009.18</v>
      </c>
      <c r="G8" s="26">
        <f t="shared" si="0"/>
        <v>-478.88000000000011</v>
      </c>
      <c r="H8" s="28">
        <f t="shared" si="0"/>
        <v>-4716.2800000000061</v>
      </c>
      <c r="I8" s="11"/>
      <c r="J8" s="28">
        <f>I8+сентябрь!J8</f>
        <v>0</v>
      </c>
      <c r="K8" s="10"/>
      <c r="L8" s="26">
        <f>K8+сентябрь!L8</f>
        <v>0</v>
      </c>
    </row>
    <row r="9" spans="1:13" ht="15.75">
      <c r="A9" s="1">
        <f t="shared" si="1"/>
        <v>7</v>
      </c>
      <c r="B9" s="17" t="s">
        <v>49</v>
      </c>
      <c r="C9" s="10">
        <f>30896.99+36167.18</f>
        <v>67064.17</v>
      </c>
      <c r="D9" s="26">
        <f>C9+сентябрь!D9</f>
        <v>619019.7300000001</v>
      </c>
      <c r="E9" s="11">
        <f>32417.92+40196.82</f>
        <v>72614.739999999991</v>
      </c>
      <c r="F9" s="26">
        <f>E9+сентябрь!F9</f>
        <v>542705.54</v>
      </c>
      <c r="G9" s="26">
        <f t="shared" si="0"/>
        <v>5550.5699999999924</v>
      </c>
      <c r="H9" s="28">
        <f t="shared" si="0"/>
        <v>-76314.190000000061</v>
      </c>
      <c r="I9" s="11">
        <v>51251.199999999997</v>
      </c>
      <c r="J9" s="28">
        <f>I9+сентябрь!J9</f>
        <v>553000</v>
      </c>
      <c r="K9" s="10"/>
      <c r="L9" s="26">
        <f>K9+сентябрь!L9</f>
        <v>0</v>
      </c>
    </row>
    <row r="10" spans="1:13" ht="15.75">
      <c r="A10" s="1">
        <f t="shared" si="1"/>
        <v>8</v>
      </c>
      <c r="B10" s="17" t="s">
        <v>21</v>
      </c>
      <c r="C10" s="10">
        <f>13746.99+18688.31</f>
        <v>32435.300000000003</v>
      </c>
      <c r="D10" s="26">
        <f>C10+сентябрь!D10</f>
        <v>379976.10000000003</v>
      </c>
      <c r="E10" s="11">
        <f>15458.92+22298.96</f>
        <v>37757.879999999997</v>
      </c>
      <c r="F10" s="26">
        <f>E10+сентябрь!F10</f>
        <v>346764.29000000004</v>
      </c>
      <c r="G10" s="26">
        <f t="shared" si="0"/>
        <v>5322.5799999999945</v>
      </c>
      <c r="H10" s="28">
        <f t="shared" si="0"/>
        <v>-33211.81</v>
      </c>
      <c r="I10" s="11">
        <v>25837.82</v>
      </c>
      <c r="J10" s="28">
        <f>I10+сентябрь!J10</f>
        <v>316141.02</v>
      </c>
      <c r="K10" s="10">
        <v>25837.82</v>
      </c>
      <c r="L10" s="26">
        <f>K10+сентябрь!L10</f>
        <v>316141.02</v>
      </c>
    </row>
    <row r="11" spans="1:13" ht="15.75">
      <c r="A11" s="1">
        <f t="shared" si="1"/>
        <v>9</v>
      </c>
      <c r="B11" s="17" t="s">
        <v>22</v>
      </c>
      <c r="C11" s="10">
        <f>-1304.58+(-1568.06)</f>
        <v>-2872.64</v>
      </c>
      <c r="D11" s="26">
        <f>C11+сентябрь!D11</f>
        <v>308543.74000000005</v>
      </c>
      <c r="E11" s="11">
        <f>-379.2+5411.32</f>
        <v>5032.12</v>
      </c>
      <c r="F11" s="26">
        <f>E11+сентябрь!F11</f>
        <v>313127.19999999995</v>
      </c>
      <c r="G11" s="26">
        <f t="shared" si="0"/>
        <v>7904.76</v>
      </c>
      <c r="H11" s="28">
        <f t="shared" si="0"/>
        <v>4583.4599999999045</v>
      </c>
      <c r="I11" s="11">
        <v>26672.06</v>
      </c>
      <c r="J11" s="28">
        <f>I11+сентябрь!J11</f>
        <v>333336.87000000005</v>
      </c>
      <c r="K11" s="10">
        <v>4319.71</v>
      </c>
      <c r="L11" s="26">
        <f>K11+сентябрь!L11</f>
        <v>196953.02</v>
      </c>
    </row>
    <row r="12" spans="1:13" ht="15.75">
      <c r="A12" s="1">
        <f t="shared" si="1"/>
        <v>10</v>
      </c>
      <c r="B12" s="17" t="s">
        <v>23</v>
      </c>
      <c r="C12" s="10">
        <f>-888.92+(-1068.77)</f>
        <v>-1957.69</v>
      </c>
      <c r="D12" s="26">
        <f>C12+сентябрь!D12</f>
        <v>210324.08</v>
      </c>
      <c r="E12" s="11">
        <f>-1204.78+2591.51</f>
        <v>1386.7300000000002</v>
      </c>
      <c r="F12" s="26">
        <f>E12+сентябрь!F12</f>
        <v>206781.66</v>
      </c>
      <c r="G12" s="26">
        <f t="shared" si="0"/>
        <v>3344.42</v>
      </c>
      <c r="H12" s="28">
        <f t="shared" si="0"/>
        <v>-3542.4199999999837</v>
      </c>
      <c r="I12" s="11">
        <v>31456.43</v>
      </c>
      <c r="J12" s="28">
        <f>I12+сентябрь!J12</f>
        <v>588718.79</v>
      </c>
      <c r="K12" s="10"/>
      <c r="L12" s="26">
        <f>K12+сентябрь!L12</f>
        <v>0</v>
      </c>
    </row>
    <row r="13" spans="1:13" ht="15.75">
      <c r="A13" s="1">
        <f t="shared" si="1"/>
        <v>11</v>
      </c>
      <c r="B13" s="17" t="s">
        <v>24</v>
      </c>
      <c r="C13" s="10">
        <f>13702.9+15013.7</f>
        <v>28716.6</v>
      </c>
      <c r="D13" s="26">
        <f>C13+сентябрь!D13</f>
        <v>290784.05</v>
      </c>
      <c r="E13" s="11">
        <f>12356.65+14471.59</f>
        <v>26828.239999999998</v>
      </c>
      <c r="F13" s="26">
        <f>E13+сентябрь!F13</f>
        <v>269497.04000000004</v>
      </c>
      <c r="G13" s="26">
        <f t="shared" si="0"/>
        <v>-1888.3600000000006</v>
      </c>
      <c r="H13" s="28">
        <f t="shared" si="0"/>
        <v>-21287.009999999951</v>
      </c>
      <c r="I13" s="11"/>
      <c r="J13" s="28">
        <f>I13+сентябрь!J13</f>
        <v>0</v>
      </c>
      <c r="K13" s="10"/>
      <c r="L13" s="26">
        <f>K13+сентябрь!L13</f>
        <v>0</v>
      </c>
    </row>
    <row r="14" spans="1:13" ht="15.75">
      <c r="A14" s="1">
        <f t="shared" si="1"/>
        <v>12</v>
      </c>
      <c r="B14" s="17" t="s">
        <v>25</v>
      </c>
      <c r="C14" s="10">
        <f>3182.9+3487.46</f>
        <v>6670.3600000000006</v>
      </c>
      <c r="D14" s="26">
        <f>C14+сентябрь!D14</f>
        <v>67543.98000000001</v>
      </c>
      <c r="E14" s="11">
        <f>2870.18+3361.82</f>
        <v>6232</v>
      </c>
      <c r="F14" s="26">
        <f>E14+сентябрь!F14</f>
        <v>62642.060000000005</v>
      </c>
      <c r="G14" s="26">
        <f t="shared" si="0"/>
        <v>-438.36000000000058</v>
      </c>
      <c r="H14" s="28">
        <f t="shared" si="0"/>
        <v>-4901.9200000000055</v>
      </c>
      <c r="I14" s="11"/>
      <c r="J14" s="28">
        <f>I14+сентябрь!J14</f>
        <v>0</v>
      </c>
      <c r="K14" s="10"/>
      <c r="L14" s="26">
        <f>K14+сентябрь!L14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C15+сентябрь!D15</f>
        <v>0</v>
      </c>
      <c r="E15" s="11"/>
      <c r="F15" s="26">
        <f>E15+сентябрь!F15</f>
        <v>0</v>
      </c>
      <c r="G15" s="26">
        <f t="shared" si="0"/>
        <v>0</v>
      </c>
      <c r="H15" s="28">
        <f t="shared" si="0"/>
        <v>0</v>
      </c>
      <c r="I15" s="11"/>
      <c r="J15" s="28">
        <f>I15+сентябрь!J15</f>
        <v>0</v>
      </c>
      <c r="K15" s="10"/>
      <c r="L15" s="26">
        <f>K15+сентябрь!L15</f>
        <v>0</v>
      </c>
    </row>
    <row r="16" spans="1:13" ht="15.75">
      <c r="A16" s="1">
        <f t="shared" si="1"/>
        <v>14</v>
      </c>
      <c r="B16" s="17" t="str">
        <f>сентябрь!B16</f>
        <v>Содержание и ремонт АППЗ</v>
      </c>
      <c r="C16" s="10">
        <f>1105.94+1212.88</f>
        <v>2318.8200000000002</v>
      </c>
      <c r="D16" s="26">
        <f>C16+сентябрь!D16</f>
        <v>22093.510000000002</v>
      </c>
      <c r="E16" s="11">
        <f>987.84+1151.16</f>
        <v>2139</v>
      </c>
      <c r="F16" s="26">
        <f>E16+сентябрь!F16</f>
        <v>20348.68</v>
      </c>
      <c r="G16" s="26">
        <f t="shared" si="0"/>
        <v>-179.82000000000016</v>
      </c>
      <c r="H16" s="28">
        <f t="shared" si="0"/>
        <v>-1744.8300000000017</v>
      </c>
      <c r="I16" s="11"/>
      <c r="J16" s="28">
        <f>I16+сентябрь!J16</f>
        <v>0</v>
      </c>
      <c r="K16" s="10"/>
      <c r="L16" s="26">
        <f>K16+сентябрь!L16</f>
        <v>0</v>
      </c>
    </row>
    <row r="17" spans="1:12" ht="15.75">
      <c r="A17" s="1">
        <f t="shared" si="1"/>
        <v>15</v>
      </c>
      <c r="B17" s="17" t="str">
        <f>сентябрь!B17</f>
        <v>Содержание и ремонт лифтов</v>
      </c>
      <c r="C17" s="10">
        <f>8065.3+8854.82</f>
        <v>16920.12</v>
      </c>
      <c r="D17" s="26">
        <f>C17+сентябрь!D17</f>
        <v>149605.07</v>
      </c>
      <c r="E17" s="11">
        <f>7124.82+8251.8</f>
        <v>15376.619999999999</v>
      </c>
      <c r="F17" s="26">
        <f>E17+сентябрь!F17</f>
        <v>136669.78</v>
      </c>
      <c r="G17" s="26">
        <f t="shared" si="0"/>
        <v>-1543.5</v>
      </c>
      <c r="H17" s="28">
        <f t="shared" si="0"/>
        <v>-12935.290000000008</v>
      </c>
      <c r="I17" s="11"/>
      <c r="J17" s="28">
        <f>I17+сентябрь!J17</f>
        <v>0</v>
      </c>
      <c r="K17" s="10"/>
      <c r="L17" s="26">
        <f>K17+сентябрь!L17</f>
        <v>0</v>
      </c>
    </row>
    <row r="18" spans="1:12" ht="15.75">
      <c r="A18" s="1">
        <f t="shared" si="1"/>
        <v>16</v>
      </c>
      <c r="B18" s="17" t="str">
        <f>сентябрь!B18</f>
        <v>Эксплуатация коллективных</v>
      </c>
      <c r="C18" s="10">
        <f>2184.88+2393.95</f>
        <v>4578.83</v>
      </c>
      <c r="D18" s="26">
        <f>C18+сентябрь!D18</f>
        <v>44979.920000000006</v>
      </c>
      <c r="E18" s="11">
        <f>1970.07+2298.63</f>
        <v>4268.7</v>
      </c>
      <c r="F18" s="26">
        <f>E18+сентябрь!F18</f>
        <v>39825.61</v>
      </c>
      <c r="G18" s="26">
        <f t="shared" si="0"/>
        <v>-310.13000000000011</v>
      </c>
      <c r="H18" s="28">
        <f t="shared" si="0"/>
        <v>-5154.3100000000049</v>
      </c>
      <c r="I18" s="11"/>
      <c r="J18" s="28">
        <f>I18+сентябрь!J18</f>
        <v>0</v>
      </c>
      <c r="K18" s="10"/>
      <c r="L18" s="26">
        <f>K18+сентябрь!L18</f>
        <v>0</v>
      </c>
    </row>
    <row r="19" spans="1:12" ht="15.75">
      <c r="A19" s="1">
        <f t="shared" si="1"/>
        <v>17</v>
      </c>
      <c r="B19" s="17" t="str">
        <f>сентябрь!B19</f>
        <v>Водоотведение кв.</v>
      </c>
      <c r="C19" s="10">
        <f>25516.09+34339.75</f>
        <v>59855.839999999997</v>
      </c>
      <c r="D19" s="26">
        <f>C19+сентябрь!D19</f>
        <v>121094.45999999999</v>
      </c>
      <c r="E19" s="11">
        <f>25427.3+26643.29</f>
        <v>52070.59</v>
      </c>
      <c r="F19" s="26">
        <f>E19+сентябрь!F19</f>
        <v>62459.009999999995</v>
      </c>
      <c r="G19" s="26">
        <f t="shared" si="0"/>
        <v>-7785.25</v>
      </c>
      <c r="H19" s="28">
        <f t="shared" si="0"/>
        <v>-58635.45</v>
      </c>
      <c r="I19" s="11"/>
      <c r="J19" s="28">
        <f>I19+сентябрь!J19</f>
        <v>0</v>
      </c>
      <c r="K19" s="10"/>
      <c r="L19" s="26">
        <f>K19+сентябрь!L19</f>
        <v>0</v>
      </c>
    </row>
    <row r="20" spans="1:12" ht="15.75">
      <c r="A20" s="1">
        <f t="shared" si="1"/>
        <v>18</v>
      </c>
      <c r="B20" s="17" t="str">
        <f>сентябрь!B20</f>
        <v>Водоотведение общед.н.</v>
      </c>
      <c r="C20" s="10">
        <f>5624.03+6213.95</f>
        <v>11837.98</v>
      </c>
      <c r="D20" s="26">
        <f>C20+сентябрь!D20</f>
        <v>26658.89</v>
      </c>
      <c r="E20" s="11">
        <f>6308.9+7002.73</f>
        <v>13311.63</v>
      </c>
      <c r="F20" s="26">
        <f>E20+сентябрь!F20</f>
        <v>13647.73</v>
      </c>
      <c r="G20" s="26">
        <f t="shared" si="0"/>
        <v>1473.6499999999996</v>
      </c>
      <c r="H20" s="28">
        <f t="shared" si="0"/>
        <v>-13011.16</v>
      </c>
      <c r="I20" s="11"/>
      <c r="J20" s="28">
        <f>I20+сентябрь!J20</f>
        <v>0</v>
      </c>
      <c r="K20" s="10"/>
      <c r="L20" s="26">
        <f>K20+сентябрь!L20</f>
        <v>0</v>
      </c>
    </row>
    <row r="21" spans="1:12" ht="15.75">
      <c r="A21" s="1">
        <f t="shared" si="1"/>
        <v>19</v>
      </c>
      <c r="B21" s="17"/>
      <c r="C21" s="10"/>
      <c r="D21" s="26">
        <f>C21+сентябрь!D21</f>
        <v>0</v>
      </c>
      <c r="E21" s="11"/>
      <c r="F21" s="26">
        <f>E21+сентябрь!F21</f>
        <v>0</v>
      </c>
      <c r="G21" s="26">
        <f t="shared" si="0"/>
        <v>0</v>
      </c>
      <c r="H21" s="28">
        <f t="shared" si="0"/>
        <v>0</v>
      </c>
      <c r="I21" s="11"/>
      <c r="J21" s="28">
        <f>I21+сентябрь!J21</f>
        <v>0</v>
      </c>
      <c r="K21" s="10"/>
      <c r="L21" s="26">
        <f>K21+сентябрь!L21</f>
        <v>0</v>
      </c>
    </row>
    <row r="22" spans="1:12">
      <c r="A22" s="1">
        <f t="shared" si="1"/>
        <v>20</v>
      </c>
      <c r="B22" s="8"/>
      <c r="C22" s="10"/>
      <c r="D22" s="26">
        <f>C22+сентябрь!D22</f>
        <v>0</v>
      </c>
      <c r="E22" s="11"/>
      <c r="F22" s="26">
        <f>E22+сентябрь!F22</f>
        <v>0</v>
      </c>
      <c r="G22" s="26">
        <f t="shared" si="0"/>
        <v>0</v>
      </c>
      <c r="H22" s="28">
        <f t="shared" si="0"/>
        <v>0</v>
      </c>
      <c r="I22" s="11"/>
      <c r="J22" s="28">
        <f>I22+сентябрь!J22</f>
        <v>0</v>
      </c>
      <c r="K22" s="10"/>
      <c r="L22" s="26">
        <f>K22+сентябрь!L22</f>
        <v>0</v>
      </c>
    </row>
    <row r="23" spans="1:12">
      <c r="A23" s="31"/>
      <c r="B23" s="29" t="s">
        <v>13</v>
      </c>
      <c r="C23" s="26">
        <f t="shared" ref="C23:L23" si="2">SUM(C3:C22)</f>
        <v>382139.77</v>
      </c>
      <c r="D23" s="26">
        <f t="shared" si="2"/>
        <v>4737041.4400000004</v>
      </c>
      <c r="E23" s="28">
        <f t="shared" si="2"/>
        <v>397459.94999999995</v>
      </c>
      <c r="F23" s="26">
        <f t="shared" si="2"/>
        <v>4371717.0100000016</v>
      </c>
      <c r="G23" s="26">
        <f t="shared" si="2"/>
        <v>15320.179999999966</v>
      </c>
      <c r="H23" s="28">
        <f t="shared" si="2"/>
        <v>-365324.43000000034</v>
      </c>
      <c r="I23" s="28">
        <f t="shared" si="2"/>
        <v>326409.18</v>
      </c>
      <c r="J23" s="28">
        <f t="shared" si="2"/>
        <v>4164163.3000000003</v>
      </c>
      <c r="K23" s="26">
        <f t="shared" si="2"/>
        <v>73081.030000000013</v>
      </c>
      <c r="L23" s="26">
        <f t="shared" si="2"/>
        <v>2671071.3199999998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4.140625" customWidth="1"/>
    <col min="2" max="2" width="19.5703125" customWidth="1"/>
    <col min="3" max="3" width="10.140625" bestFit="1" customWidth="1"/>
    <col min="4" max="4" width="12.42578125" customWidth="1"/>
    <col min="5" max="5" width="10.140625" customWidth="1"/>
    <col min="6" max="6" width="12.28515625" customWidth="1"/>
    <col min="7" max="7" width="13.42578125" customWidth="1"/>
    <col min="8" max="8" width="12.7109375" customWidth="1"/>
    <col min="9" max="9" width="10.140625" bestFit="1" customWidth="1"/>
    <col min="10" max="10" width="11" customWidth="1"/>
    <col min="11" max="11" width="10.140625" bestFit="1" customWidth="1"/>
    <col min="12" max="12" width="12.28515625" customWidth="1"/>
    <col min="13" max="13" width="10.7109375" bestFit="1" customWidth="1"/>
  </cols>
  <sheetData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27219.52+27368</f>
        <v>54587.520000000004</v>
      </c>
      <c r="D3" s="26">
        <f>C3+октябрь!D3</f>
        <v>550360.65</v>
      </c>
      <c r="E3" s="11">
        <f>28899.42+25565.66</f>
        <v>54465.08</v>
      </c>
      <c r="F3" s="26">
        <f>E3+октябрь!F3</f>
        <v>509426.35</v>
      </c>
      <c r="G3" s="26">
        <f>E3-C3</f>
        <v>-122.44000000000233</v>
      </c>
      <c r="H3" s="28">
        <f>F3-D3</f>
        <v>-40934.300000000047</v>
      </c>
      <c r="I3" s="11"/>
      <c r="J3" s="28">
        <f>I3+октябрь!J3</f>
        <v>0</v>
      </c>
      <c r="K3" s="10"/>
      <c r="L3" s="26">
        <f>K3+октябрь!L3</f>
        <v>0</v>
      </c>
    </row>
    <row r="4" spans="1:13" ht="15.75">
      <c r="A4" s="1">
        <f>A3+1</f>
        <v>2</v>
      </c>
      <c r="B4" s="17" t="s">
        <v>15</v>
      </c>
      <c r="C4" s="10">
        <f>26251.33+25804.45</f>
        <v>52055.78</v>
      </c>
      <c r="D4" s="26">
        <f>C4+октябрь!D4</f>
        <v>882592.27</v>
      </c>
      <c r="E4" s="11">
        <f>14861+5745.15</f>
        <v>20606.150000000001</v>
      </c>
      <c r="F4" s="26">
        <f>E4+октябрь!F4</f>
        <v>864236.53</v>
      </c>
      <c r="G4" s="26">
        <f t="shared" ref="G4:H22" si="0">E4-C4</f>
        <v>-31449.629999999997</v>
      </c>
      <c r="H4" s="28">
        <f t="shared" si="0"/>
        <v>-18355.739999999991</v>
      </c>
      <c r="I4" s="11">
        <v>367347.95</v>
      </c>
      <c r="J4" s="28">
        <f>I4+октябрь!J4</f>
        <v>2740314.5700000003</v>
      </c>
      <c r="K4" s="10">
        <v>199701.42</v>
      </c>
      <c r="L4" s="26">
        <f>K4+октябрь!L4</f>
        <v>2357678.6999999997</v>
      </c>
      <c r="M4" s="37">
        <f>L4-J4</f>
        <v>-382635.87000000058</v>
      </c>
    </row>
    <row r="5" spans="1:13" ht="15.75">
      <c r="A5" s="1">
        <f t="shared" ref="A5:A22" si="1">A4+1</f>
        <v>3</v>
      </c>
      <c r="B5" s="17" t="s">
        <v>17</v>
      </c>
      <c r="C5" s="10">
        <f>54795.66+45900.71</f>
        <v>100696.37</v>
      </c>
      <c r="D5" s="26">
        <f>C5+октябрь!D5</f>
        <v>1138238.92</v>
      </c>
      <c r="E5" s="11">
        <f>55122.88+35472.93</f>
        <v>90595.81</v>
      </c>
      <c r="F5" s="26">
        <f>E5+октябрь!F5</f>
        <v>1026761.71</v>
      </c>
      <c r="G5" s="26">
        <f t="shared" si="0"/>
        <v>-10100.559999999998</v>
      </c>
      <c r="H5" s="28">
        <f t="shared" si="0"/>
        <v>-111477.20999999996</v>
      </c>
      <c r="I5" s="11"/>
      <c r="J5" s="28">
        <f>I5+октябрь!J5</f>
        <v>0</v>
      </c>
      <c r="K5" s="10"/>
      <c r="L5" s="26">
        <f>K5+октябрь!L5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C6+октябрь!D6</f>
        <v>0</v>
      </c>
      <c r="E6" s="11"/>
      <c r="F6" s="26">
        <f>E6+октябрь!F6</f>
        <v>0</v>
      </c>
      <c r="G6" s="26">
        <f t="shared" si="0"/>
        <v>0</v>
      </c>
      <c r="H6" s="28">
        <f t="shared" si="0"/>
        <v>0</v>
      </c>
      <c r="I6" s="11"/>
      <c r="J6" s="28">
        <f>I6+октябрь!J6</f>
        <v>0</v>
      </c>
      <c r="K6" s="10"/>
      <c r="L6" s="26">
        <f>K6+октябрь!L6</f>
        <v>0</v>
      </c>
    </row>
    <row r="7" spans="1:13" ht="15.75">
      <c r="A7" s="1">
        <f t="shared" si="1"/>
        <v>5</v>
      </c>
      <c r="B7" s="18" t="s">
        <v>19</v>
      </c>
      <c r="C7" s="10">
        <f>3707.82+3733.3</f>
        <v>7441.1200000000008</v>
      </c>
      <c r="D7" s="26">
        <f>C7+октябрь!D7</f>
        <v>81281.399999999994</v>
      </c>
      <c r="E7" s="11">
        <f>4043.51+3517.49</f>
        <v>7561</v>
      </c>
      <c r="F7" s="26">
        <f>E7+октябрь!F7</f>
        <v>76042.679999999993</v>
      </c>
      <c r="G7" s="26">
        <f t="shared" si="0"/>
        <v>119.8799999999992</v>
      </c>
      <c r="H7" s="28">
        <f t="shared" si="0"/>
        <v>-5238.7200000000012</v>
      </c>
      <c r="I7" s="11"/>
      <c r="J7" s="28">
        <f>I7+октябрь!J7</f>
        <v>0</v>
      </c>
      <c r="K7" s="10"/>
      <c r="L7" s="26">
        <f>K7+октябрь!L7</f>
        <v>0</v>
      </c>
    </row>
    <row r="8" spans="1:13" ht="15.75">
      <c r="A8" s="1">
        <f t="shared" si="1"/>
        <v>6</v>
      </c>
      <c r="B8" s="17" t="s">
        <v>29</v>
      </c>
      <c r="C8" s="10">
        <f>3132.94+3151.49</f>
        <v>6284.43</v>
      </c>
      <c r="D8" s="26">
        <f>C8+октябрь!D8</f>
        <v>65009.890000000007</v>
      </c>
      <c r="E8" s="11">
        <f>3353.35+2951.51</f>
        <v>6304.8600000000006</v>
      </c>
      <c r="F8" s="26">
        <f>E8+октябрь!F8</f>
        <v>60314.04</v>
      </c>
      <c r="G8" s="26">
        <f t="shared" si="0"/>
        <v>20.430000000000291</v>
      </c>
      <c r="H8" s="28">
        <f t="shared" si="0"/>
        <v>-4695.8500000000058</v>
      </c>
      <c r="I8" s="11"/>
      <c r="J8" s="28">
        <f>I8+октябрь!J8</f>
        <v>0</v>
      </c>
      <c r="K8" s="10"/>
      <c r="L8" s="26">
        <f>K8+октябрь!L8</f>
        <v>0</v>
      </c>
    </row>
    <row r="9" spans="1:13" ht="15.75">
      <c r="A9" s="1">
        <f t="shared" si="1"/>
        <v>7</v>
      </c>
      <c r="B9" s="17" t="s">
        <v>49</v>
      </c>
      <c r="C9" s="10">
        <f>37194.56+35681.28</f>
        <v>72875.839999999997</v>
      </c>
      <c r="D9" s="26">
        <f>C9+октябрь!D9</f>
        <v>691895.57000000007</v>
      </c>
      <c r="E9" s="11">
        <f>44682.95+35835.71</f>
        <v>80518.66</v>
      </c>
      <c r="F9" s="26">
        <f>E9+октябрь!F9</f>
        <v>623224.20000000007</v>
      </c>
      <c r="G9" s="26">
        <f t="shared" si="0"/>
        <v>7642.820000000007</v>
      </c>
      <c r="H9" s="28">
        <f t="shared" si="0"/>
        <v>-68671.37</v>
      </c>
      <c r="I9" s="11">
        <v>54995.199999999997</v>
      </c>
      <c r="J9" s="28">
        <f>I9+октябрь!J9</f>
        <v>607995.19999999995</v>
      </c>
      <c r="K9" s="10"/>
      <c r="L9" s="26">
        <f>K9+октябрь!L9</f>
        <v>0</v>
      </c>
    </row>
    <row r="10" spans="1:13" ht="15.75">
      <c r="A10" s="1">
        <f t="shared" si="1"/>
        <v>8</v>
      </c>
      <c r="B10" s="17" t="s">
        <v>21</v>
      </c>
      <c r="C10" s="10">
        <f>19751.98+16587.73</f>
        <v>36339.71</v>
      </c>
      <c r="D10" s="26">
        <f>C10+октябрь!D10</f>
        <v>416315.81000000006</v>
      </c>
      <c r="E10" s="11">
        <f>25512.02+16578.26</f>
        <v>42090.28</v>
      </c>
      <c r="F10" s="26">
        <f>E10+октябрь!F10</f>
        <v>388854.57000000007</v>
      </c>
      <c r="G10" s="26">
        <f t="shared" si="0"/>
        <v>5750.57</v>
      </c>
      <c r="H10" s="28">
        <f t="shared" si="0"/>
        <v>-27461.239999999991</v>
      </c>
      <c r="I10" s="11">
        <v>14069.53</v>
      </c>
      <c r="J10" s="28">
        <f>I10+октябрь!J10</f>
        <v>330210.55000000005</v>
      </c>
      <c r="K10" s="10">
        <v>14069.53</v>
      </c>
      <c r="L10" s="26">
        <f>K10+октябрь!L10</f>
        <v>330210.55000000005</v>
      </c>
    </row>
    <row r="11" spans="1:13" ht="15.75">
      <c r="A11" s="1">
        <f t="shared" si="1"/>
        <v>9</v>
      </c>
      <c r="B11" s="17" t="s">
        <v>22</v>
      </c>
      <c r="C11" s="10">
        <v>0</v>
      </c>
      <c r="D11" s="26">
        <f>C11+октябрь!D11</f>
        <v>308543.74000000005</v>
      </c>
      <c r="E11" s="11">
        <f>7908.66+1868.89</f>
        <v>9777.5499999999993</v>
      </c>
      <c r="F11" s="26">
        <f>E11+октябрь!F11</f>
        <v>322904.74999999994</v>
      </c>
      <c r="G11" s="26">
        <f t="shared" si="0"/>
        <v>9777.5499999999993</v>
      </c>
      <c r="H11" s="28">
        <f t="shared" si="0"/>
        <v>14361.009999999893</v>
      </c>
      <c r="I11" s="11">
        <v>14876.84</v>
      </c>
      <c r="J11" s="28">
        <f>I11+октябрь!J11</f>
        <v>348213.71000000008</v>
      </c>
      <c r="K11" s="10">
        <v>26140.86</v>
      </c>
      <c r="L11" s="26">
        <f>K11+октябрь!L11</f>
        <v>223093.88</v>
      </c>
    </row>
    <row r="12" spans="1:13" ht="15.75">
      <c r="A12" s="1">
        <f t="shared" si="1"/>
        <v>10</v>
      </c>
      <c r="B12" s="17" t="s">
        <v>23</v>
      </c>
      <c r="C12" s="10">
        <v>0</v>
      </c>
      <c r="D12" s="26">
        <f>C12+октябрь!D12</f>
        <v>210324.08</v>
      </c>
      <c r="E12" s="11">
        <f>2917.57+269.92</f>
        <v>3187.4900000000002</v>
      </c>
      <c r="F12" s="26">
        <f>E12+октябрь!F12</f>
        <v>209969.15</v>
      </c>
      <c r="G12" s="26">
        <f t="shared" si="0"/>
        <v>3187.4900000000002</v>
      </c>
      <c r="H12" s="28">
        <f t="shared" si="0"/>
        <v>-354.92999999999302</v>
      </c>
      <c r="I12" s="11">
        <v>30441.7</v>
      </c>
      <c r="J12" s="28">
        <f>I12+октябрь!J12</f>
        <v>619160.49</v>
      </c>
      <c r="K12" s="10"/>
      <c r="L12" s="26">
        <f>K12+октябрь!L12</f>
        <v>0</v>
      </c>
    </row>
    <row r="13" spans="1:13" ht="15.75">
      <c r="A13" s="1">
        <f t="shared" si="1"/>
        <v>11</v>
      </c>
      <c r="B13" s="17" t="s">
        <v>24</v>
      </c>
      <c r="C13" s="10">
        <f>14601.41+14701.83</f>
        <v>29303.239999999998</v>
      </c>
      <c r="D13" s="26">
        <f>C13+октябрь!D13</f>
        <v>320087.28999999998</v>
      </c>
      <c r="E13" s="11">
        <f>15914.5+13849.66</f>
        <v>29764.16</v>
      </c>
      <c r="F13" s="26">
        <f>E13+октябрь!F13</f>
        <v>299261.2</v>
      </c>
      <c r="G13" s="26">
        <f t="shared" si="0"/>
        <v>460.92000000000189</v>
      </c>
      <c r="H13" s="28">
        <f t="shared" si="0"/>
        <v>-20826.089999999967</v>
      </c>
      <c r="I13" s="11"/>
      <c r="J13" s="28">
        <f>I13+октябрь!J13</f>
        <v>0</v>
      </c>
      <c r="K13" s="10"/>
      <c r="L13" s="26">
        <f>K13+октябрь!L13</f>
        <v>0</v>
      </c>
    </row>
    <row r="14" spans="1:13" ht="15.75">
      <c r="A14" s="1">
        <f t="shared" si="1"/>
        <v>12</v>
      </c>
      <c r="B14" s="17" t="s">
        <v>25</v>
      </c>
      <c r="C14" s="10">
        <f>3391.69+3414.93</f>
        <v>6806.62</v>
      </c>
      <c r="D14" s="26">
        <f>C14+октябрь!D14</f>
        <v>74350.600000000006</v>
      </c>
      <c r="E14" s="11">
        <f>3698.84+3217.53</f>
        <v>6916.3700000000008</v>
      </c>
      <c r="F14" s="26">
        <f>E14+октябрь!F14</f>
        <v>69558.430000000008</v>
      </c>
      <c r="G14" s="26">
        <f t="shared" si="0"/>
        <v>109.75000000000091</v>
      </c>
      <c r="H14" s="28">
        <f t="shared" si="0"/>
        <v>-4792.1699999999983</v>
      </c>
      <c r="I14" s="11"/>
      <c r="J14" s="28">
        <f>I14+октябрь!J14</f>
        <v>0</v>
      </c>
      <c r="K14" s="10"/>
      <c r="L14" s="26">
        <f>K14+октябрь!L14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C15+октябрь!D15</f>
        <v>0</v>
      </c>
      <c r="E15" s="11"/>
      <c r="F15" s="26">
        <f>E15+октябрь!F15</f>
        <v>0</v>
      </c>
      <c r="G15" s="26">
        <f t="shared" si="0"/>
        <v>0</v>
      </c>
      <c r="H15" s="28">
        <f t="shared" si="0"/>
        <v>0</v>
      </c>
      <c r="I15" s="11"/>
      <c r="J15" s="28">
        <f>I15+октябрь!J15</f>
        <v>0</v>
      </c>
      <c r="K15" s="10"/>
      <c r="L15" s="26">
        <f>K15+октябрь!L15</f>
        <v>0</v>
      </c>
    </row>
    <row r="16" spans="1:13" ht="15.75">
      <c r="A16" s="1">
        <f t="shared" si="1"/>
        <v>14</v>
      </c>
      <c r="B16" s="17" t="str">
        <f>октябрь!B16</f>
        <v>Содержание и ремонт АППЗ</v>
      </c>
      <c r="C16" s="10">
        <f>1178.46+1185.39</f>
        <v>2363.8500000000004</v>
      </c>
      <c r="D16" s="26">
        <f>C16+октябрь!D16</f>
        <v>24457.360000000001</v>
      </c>
      <c r="E16" s="11">
        <f>1262.87+1110.58</f>
        <v>2373.4499999999998</v>
      </c>
      <c r="F16" s="26">
        <f>E16+октябрь!F16</f>
        <v>22722.13</v>
      </c>
      <c r="G16" s="26">
        <f t="shared" si="0"/>
        <v>9.5999999999994543</v>
      </c>
      <c r="H16" s="28">
        <f t="shared" si="0"/>
        <v>-1735.2299999999996</v>
      </c>
      <c r="I16" s="11"/>
      <c r="J16" s="28">
        <f>I16+октябрь!J16</f>
        <v>0</v>
      </c>
      <c r="K16" s="10"/>
      <c r="L16" s="26">
        <f>K16+октябрь!L16</f>
        <v>0</v>
      </c>
    </row>
    <row r="17" spans="1:12" ht="15.75">
      <c r="A17" s="1">
        <f t="shared" si="1"/>
        <v>15</v>
      </c>
      <c r="B17" s="17" t="str">
        <f>октябрь!B17</f>
        <v>Содержание и ремонт лифтов</v>
      </c>
      <c r="C17" s="10">
        <f>8594.14+8635.22</f>
        <v>17229.36</v>
      </c>
      <c r="D17" s="26">
        <f>C17+октябрь!D17</f>
        <v>166834.43</v>
      </c>
      <c r="E17" s="11">
        <f>9012.82+8035.71</f>
        <v>17048.53</v>
      </c>
      <c r="F17" s="26">
        <f>E17+октябрь!F17</f>
        <v>153718.31</v>
      </c>
      <c r="G17" s="26">
        <f t="shared" si="0"/>
        <v>-180.83000000000175</v>
      </c>
      <c r="H17" s="28">
        <f t="shared" si="0"/>
        <v>-13116.119999999995</v>
      </c>
      <c r="I17" s="11"/>
      <c r="J17" s="28">
        <f>I17+октябрь!J17</f>
        <v>0</v>
      </c>
      <c r="K17" s="10"/>
      <c r="L17" s="26">
        <f>K17+октябрь!L17</f>
        <v>0</v>
      </c>
    </row>
    <row r="18" spans="1:12" ht="15.75">
      <c r="A18" s="1">
        <f t="shared" si="1"/>
        <v>16</v>
      </c>
      <c r="B18" s="17" t="str">
        <f>октябрь!B18</f>
        <v>Эксплуатация коллективных</v>
      </c>
      <c r="C18" s="10">
        <f>2328.2+2344.15</f>
        <v>4672.3500000000004</v>
      </c>
      <c r="D18" s="26">
        <f>C18+октябрь!D18</f>
        <v>49652.270000000004</v>
      </c>
      <c r="E18" s="11">
        <f>2476.61+2187.27</f>
        <v>4663.88</v>
      </c>
      <c r="F18" s="26">
        <f>E18+октябрь!F18</f>
        <v>44489.49</v>
      </c>
      <c r="G18" s="26">
        <f t="shared" si="0"/>
        <v>-8.4700000000002547</v>
      </c>
      <c r="H18" s="28">
        <f t="shared" si="0"/>
        <v>-5162.7800000000061</v>
      </c>
      <c r="I18" s="11"/>
      <c r="J18" s="28">
        <f>I18+октябрь!J18</f>
        <v>0</v>
      </c>
      <c r="K18" s="10"/>
      <c r="L18" s="26">
        <f>K18+октябрь!L18</f>
        <v>0</v>
      </c>
    </row>
    <row r="19" spans="1:12" ht="15.75">
      <c r="A19" s="1">
        <f t="shared" si="1"/>
        <v>17</v>
      </c>
      <c r="B19" s="17" t="str">
        <f>октябрь!B19</f>
        <v>Водоотведение кв.</v>
      </c>
      <c r="C19" s="10">
        <f>33582.47+28196.96</f>
        <v>61779.43</v>
      </c>
      <c r="D19" s="26">
        <f>C19+октябрь!D19</f>
        <v>182873.88999999998</v>
      </c>
      <c r="E19" s="11">
        <f>28507.07+23425.5</f>
        <v>51932.57</v>
      </c>
      <c r="F19" s="26">
        <f>E19+октябрь!F19</f>
        <v>114391.57999999999</v>
      </c>
      <c r="G19" s="26">
        <f t="shared" si="0"/>
        <v>-9846.86</v>
      </c>
      <c r="H19" s="28">
        <f t="shared" si="0"/>
        <v>-68482.31</v>
      </c>
      <c r="I19" s="11"/>
      <c r="J19" s="28">
        <f>I19+октябрь!J19</f>
        <v>0</v>
      </c>
      <c r="K19" s="10"/>
      <c r="L19" s="26">
        <f>K19+октябрь!L19</f>
        <v>0</v>
      </c>
    </row>
    <row r="20" spans="1:12" ht="15.75">
      <c r="A20" s="1">
        <f t="shared" si="1"/>
        <v>18</v>
      </c>
      <c r="B20" s="17" t="str">
        <f>октябрь!B20</f>
        <v>Водоотведение общед.н.</v>
      </c>
      <c r="C20" s="10">
        <f>-98.44+0</f>
        <v>-98.44</v>
      </c>
      <c r="D20" s="26">
        <f>C20+октябрь!D20</f>
        <v>26560.45</v>
      </c>
      <c r="E20" s="11">
        <f>2728.99+3402.53</f>
        <v>6131.52</v>
      </c>
      <c r="F20" s="26">
        <f>E20+октябрь!F20</f>
        <v>19779.25</v>
      </c>
      <c r="G20" s="26">
        <f t="shared" si="0"/>
        <v>6229.96</v>
      </c>
      <c r="H20" s="28">
        <f t="shared" si="0"/>
        <v>-6781.2000000000007</v>
      </c>
      <c r="I20" s="11"/>
      <c r="J20" s="28">
        <f>I20+октябрь!J20</f>
        <v>0</v>
      </c>
      <c r="K20" s="10"/>
      <c r="L20" s="26">
        <f>K20+октябрь!L20</f>
        <v>0</v>
      </c>
    </row>
    <row r="21" spans="1:12" ht="15.75">
      <c r="A21" s="1">
        <f t="shared" si="1"/>
        <v>19</v>
      </c>
      <c r="B21" s="17" t="s">
        <v>50</v>
      </c>
      <c r="C21" s="10">
        <f>8735.58+8243.75</f>
        <v>16979.330000000002</v>
      </c>
      <c r="D21" s="26">
        <f>C21+октябрь!D21</f>
        <v>16979.330000000002</v>
      </c>
      <c r="E21" s="11">
        <f>919.46+925.54</f>
        <v>1845</v>
      </c>
      <c r="F21" s="26">
        <f>E21+октябрь!F21</f>
        <v>1845</v>
      </c>
      <c r="G21" s="26">
        <f t="shared" si="0"/>
        <v>-15134.330000000002</v>
      </c>
      <c r="H21" s="28">
        <f t="shared" si="0"/>
        <v>-15134.330000000002</v>
      </c>
      <c r="I21" s="11"/>
      <c r="J21" s="28">
        <f>I21+октябрь!J21</f>
        <v>0</v>
      </c>
      <c r="K21" s="10"/>
      <c r="L21" s="26">
        <f>K21+октябрь!L21</f>
        <v>0</v>
      </c>
    </row>
    <row r="22" spans="1:12">
      <c r="A22" s="1">
        <f t="shared" si="1"/>
        <v>20</v>
      </c>
      <c r="B22" s="8" t="s">
        <v>51</v>
      </c>
      <c r="C22" s="10">
        <f>10471.8+10130.94</f>
        <v>20602.739999999998</v>
      </c>
      <c r="D22" s="26">
        <f>C22+октябрь!D22</f>
        <v>20602.739999999998</v>
      </c>
      <c r="E22" s="11">
        <f>443.92+608.15</f>
        <v>1052.07</v>
      </c>
      <c r="F22" s="26">
        <f>E22+октябрь!F22</f>
        <v>1052.07</v>
      </c>
      <c r="G22" s="26">
        <f t="shared" si="0"/>
        <v>-19550.669999999998</v>
      </c>
      <c r="H22" s="28">
        <f t="shared" si="0"/>
        <v>-19550.669999999998</v>
      </c>
      <c r="I22" s="11"/>
      <c r="J22" s="28">
        <f>I22+октябрь!J22</f>
        <v>0</v>
      </c>
      <c r="K22" s="10"/>
      <c r="L22" s="26">
        <f>K22+октябрь!L22</f>
        <v>0</v>
      </c>
    </row>
    <row r="23" spans="1:12">
      <c r="A23" s="31"/>
      <c r="B23" s="29" t="s">
        <v>13</v>
      </c>
      <c r="C23" s="26">
        <f t="shared" ref="C23:L23" si="2">SUM(C3:C22)</f>
        <v>489919.24999999988</v>
      </c>
      <c r="D23" s="26">
        <f t="shared" si="2"/>
        <v>5226960.6899999995</v>
      </c>
      <c r="E23" s="28">
        <f t="shared" si="2"/>
        <v>436834.43000000005</v>
      </c>
      <c r="F23" s="26">
        <f t="shared" si="2"/>
        <v>4808551.4399999995</v>
      </c>
      <c r="G23" s="26">
        <f t="shared" si="2"/>
        <v>-53084.819999999992</v>
      </c>
      <c r="H23" s="28">
        <f t="shared" si="2"/>
        <v>-418409.25000000006</v>
      </c>
      <c r="I23" s="28">
        <f t="shared" si="2"/>
        <v>481731.22000000009</v>
      </c>
      <c r="J23" s="28">
        <f t="shared" si="2"/>
        <v>4645894.5200000005</v>
      </c>
      <c r="K23" s="26">
        <f t="shared" si="2"/>
        <v>239911.81</v>
      </c>
      <c r="L23" s="26">
        <f t="shared" si="2"/>
        <v>2910983.13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8" sqref="B18"/>
    </sheetView>
  </sheetViews>
  <sheetFormatPr defaultRowHeight="12.75"/>
  <cols>
    <col min="1" max="1" width="3.7109375" customWidth="1"/>
    <col min="2" max="2" width="19.85546875" customWidth="1"/>
    <col min="3" max="3" width="10.140625" bestFit="1" customWidth="1"/>
    <col min="4" max="4" width="11.28515625" customWidth="1"/>
    <col min="5" max="5" width="10.140625" bestFit="1" customWidth="1"/>
    <col min="6" max="6" width="11.5703125" customWidth="1"/>
    <col min="7" max="7" width="10.7109375" customWidth="1"/>
    <col min="8" max="8" width="12.5703125" customWidth="1"/>
    <col min="9" max="9" width="0.140625" customWidth="1"/>
    <col min="10" max="10" width="12.140625" hidden="1" customWidth="1"/>
    <col min="11" max="11" width="9.28515625" hidden="1" customWidth="1"/>
    <col min="12" max="12" width="11.28515625" hidden="1" customWidth="1"/>
    <col min="13" max="13" width="10.7109375" hidden="1" customWidth="1"/>
  </cols>
  <sheetData>
    <row r="1" spans="1:13" ht="15.75">
      <c r="D1" s="47" t="s">
        <v>55</v>
      </c>
    </row>
    <row r="2" spans="1:13" ht="42" customHeight="1">
      <c r="A2" s="1" t="s">
        <v>0</v>
      </c>
      <c r="B2" s="38" t="s">
        <v>1</v>
      </c>
      <c r="C2" s="39" t="s">
        <v>2</v>
      </c>
      <c r="D2" s="40" t="s">
        <v>3</v>
      </c>
      <c r="E2" s="41" t="s">
        <v>4</v>
      </c>
      <c r="F2" s="40" t="s">
        <v>5</v>
      </c>
      <c r="G2" s="40" t="s">
        <v>6</v>
      </c>
      <c r="H2" s="42" t="s">
        <v>7</v>
      </c>
      <c r="I2" s="41" t="s">
        <v>8</v>
      </c>
      <c r="J2" s="42" t="s">
        <v>9</v>
      </c>
      <c r="K2" s="38" t="s">
        <v>10</v>
      </c>
      <c r="L2" s="40" t="s">
        <v>11</v>
      </c>
    </row>
    <row r="3" spans="1:13">
      <c r="A3" s="1">
        <v>1</v>
      </c>
      <c r="B3" s="43" t="s">
        <v>14</v>
      </c>
      <c r="C3" s="10">
        <f>25332.12+20269.12</f>
        <v>45601.24</v>
      </c>
      <c r="D3" s="26">
        <f>C3+ноябрь!D3</f>
        <v>595961.89</v>
      </c>
      <c r="E3" s="11">
        <f>23705.69+24503.62</f>
        <v>48209.31</v>
      </c>
      <c r="F3" s="26">
        <f>E3+ноябрь!F3</f>
        <v>557635.65999999992</v>
      </c>
      <c r="G3" s="26">
        <f>E3-C3</f>
        <v>2608.0699999999997</v>
      </c>
      <c r="H3" s="28">
        <f>F3-D3</f>
        <v>-38326.230000000098</v>
      </c>
      <c r="I3" s="11"/>
      <c r="J3" s="28">
        <f>I3+ноябрь!J3</f>
        <v>0</v>
      </c>
      <c r="K3" s="10"/>
      <c r="L3" s="26">
        <f>ноябрь!L3</f>
        <v>0</v>
      </c>
    </row>
    <row r="4" spans="1:13">
      <c r="A4" s="1">
        <f>A3+1</f>
        <v>2</v>
      </c>
      <c r="B4" s="43" t="s">
        <v>15</v>
      </c>
      <c r="C4" s="10">
        <f>57444.24+53648.88</f>
        <v>111093.12</v>
      </c>
      <c r="D4" s="26">
        <f>C4+ноябрь!D4</f>
        <v>993685.39</v>
      </c>
      <c r="E4" s="11">
        <f>22110.36+22030.06</f>
        <v>44140.42</v>
      </c>
      <c r="F4" s="26">
        <f>E4+ноябрь!F4</f>
        <v>908376.95000000007</v>
      </c>
      <c r="G4" s="26">
        <f t="shared" ref="G4:H22" si="0">E4-C4</f>
        <v>-66952.7</v>
      </c>
      <c r="H4" s="28">
        <f t="shared" si="0"/>
        <v>-85308.439999999944</v>
      </c>
      <c r="I4" s="11">
        <v>344733.29</v>
      </c>
      <c r="J4" s="28">
        <f>I4+ноябрь!J4</f>
        <v>3085047.8600000003</v>
      </c>
      <c r="K4" s="10"/>
      <c r="L4" s="26">
        <f>ноябрь!L4</f>
        <v>2357678.6999999997</v>
      </c>
      <c r="M4" s="37">
        <f>L4-J4</f>
        <v>-727369.16000000061</v>
      </c>
    </row>
    <row r="5" spans="1:13">
      <c r="A5" s="1">
        <f t="shared" ref="A5:A22" si="1">A4+1</f>
        <v>3</v>
      </c>
      <c r="B5" s="43" t="s">
        <v>17</v>
      </c>
      <c r="C5" s="10">
        <f>51283.1+44857.32</f>
        <v>96140.42</v>
      </c>
      <c r="D5" s="26">
        <f>C5+ноябрь!D5</f>
        <v>1234379.3399999999</v>
      </c>
      <c r="E5" s="11">
        <f>49563.04+48814.21</f>
        <v>98377.25</v>
      </c>
      <c r="F5" s="26">
        <f>E5+ноябрь!F5</f>
        <v>1125138.96</v>
      </c>
      <c r="G5" s="26">
        <f t="shared" si="0"/>
        <v>2236.8300000000017</v>
      </c>
      <c r="H5" s="28">
        <f t="shared" si="0"/>
        <v>-109240.37999999989</v>
      </c>
      <c r="I5" s="11"/>
      <c r="J5" s="28">
        <f>I5+ноябрь!J5</f>
        <v>0</v>
      </c>
      <c r="K5" s="10"/>
      <c r="L5" s="26">
        <f>ноябрь!L5</f>
        <v>0</v>
      </c>
    </row>
    <row r="6" spans="1:13">
      <c r="A6" s="1">
        <f t="shared" si="1"/>
        <v>4</v>
      </c>
      <c r="B6" s="43" t="s">
        <v>18</v>
      </c>
      <c r="C6" s="10"/>
      <c r="D6" s="26">
        <f>C6+ноябрь!D6</f>
        <v>0</v>
      </c>
      <c r="E6" s="11"/>
      <c r="F6" s="26">
        <f>E6+ноябрь!F6</f>
        <v>0</v>
      </c>
      <c r="G6" s="26">
        <f t="shared" si="0"/>
        <v>0</v>
      </c>
      <c r="H6" s="28">
        <f t="shared" si="0"/>
        <v>0</v>
      </c>
      <c r="I6" s="11"/>
      <c r="J6" s="28">
        <f>I6+ноябрь!J6</f>
        <v>0</v>
      </c>
      <c r="K6" s="10"/>
      <c r="L6" s="26">
        <f>ноябрь!L6</f>
        <v>0</v>
      </c>
    </row>
    <row r="7" spans="1:13">
      <c r="A7" s="1">
        <f t="shared" si="1"/>
        <v>5</v>
      </c>
      <c r="B7" s="44" t="s">
        <v>19</v>
      </c>
      <c r="C7" s="10">
        <f>3375.69+2760.99</f>
        <v>6136.68</v>
      </c>
      <c r="D7" s="26">
        <f>C7+ноябрь!D7</f>
        <v>87418.079999999987</v>
      </c>
      <c r="E7" s="11">
        <f>3258.31+3348.73</f>
        <v>6607.04</v>
      </c>
      <c r="F7" s="26">
        <f>E7+ноябрь!F7</f>
        <v>82649.719999999987</v>
      </c>
      <c r="G7" s="26">
        <f t="shared" si="0"/>
        <v>470.35999999999967</v>
      </c>
      <c r="H7" s="28">
        <f t="shared" si="0"/>
        <v>-4768.3600000000006</v>
      </c>
      <c r="I7" s="11"/>
      <c r="J7" s="28">
        <f>I7+ноябрь!J7</f>
        <v>0</v>
      </c>
      <c r="K7" s="10"/>
      <c r="L7" s="26">
        <f>ноябрь!L7</f>
        <v>0</v>
      </c>
    </row>
    <row r="8" spans="1:13">
      <c r="A8" s="1">
        <f t="shared" si="1"/>
        <v>6</v>
      </c>
      <c r="B8" s="43" t="s">
        <v>29</v>
      </c>
      <c r="C8" s="10">
        <f>2915.66+2333.01</f>
        <v>5248.67</v>
      </c>
      <c r="D8" s="26">
        <f>C8+ноябрь!D8</f>
        <v>70258.560000000012</v>
      </c>
      <c r="E8" s="11">
        <f>2736.18+2823.37</f>
        <v>5559.5499999999993</v>
      </c>
      <c r="F8" s="26">
        <f>E8+ноябрь!F8</f>
        <v>65873.59</v>
      </c>
      <c r="G8" s="26">
        <f t="shared" si="0"/>
        <v>310.8799999999992</v>
      </c>
      <c r="H8" s="28">
        <f t="shared" si="0"/>
        <v>-4384.9700000000157</v>
      </c>
      <c r="I8" s="11"/>
      <c r="J8" s="28">
        <f>I8+ноябрь!J8</f>
        <v>0</v>
      </c>
      <c r="K8" s="10"/>
      <c r="L8" s="26">
        <f>ноябрь!L8</f>
        <v>0</v>
      </c>
    </row>
    <row r="9" spans="1:13">
      <c r="A9" s="1">
        <f t="shared" si="1"/>
        <v>7</v>
      </c>
      <c r="B9" s="43" t="s">
        <v>49</v>
      </c>
      <c r="C9" s="10">
        <f>34083.79+34209.76</f>
        <v>68293.55</v>
      </c>
      <c r="D9" s="26">
        <f>C9+ноябрь!D9</f>
        <v>760189.12000000011</v>
      </c>
      <c r="E9" s="11">
        <f>37703.94+38683.44</f>
        <v>76387.38</v>
      </c>
      <c r="F9" s="26">
        <f>E9+ноябрь!F9</f>
        <v>699611.58000000007</v>
      </c>
      <c r="G9" s="26">
        <f t="shared" si="0"/>
        <v>8093.8300000000017</v>
      </c>
      <c r="H9" s="28">
        <f t="shared" si="0"/>
        <v>-60577.540000000037</v>
      </c>
      <c r="I9" s="11">
        <v>78873.600000000006</v>
      </c>
      <c r="J9" s="28">
        <f>I9+ноябрь!J9</f>
        <v>686868.79999999993</v>
      </c>
      <c r="K9" s="10"/>
      <c r="L9" s="26">
        <f>ноябрь!L9</f>
        <v>0</v>
      </c>
    </row>
    <row r="10" spans="1:13">
      <c r="A10" s="1">
        <f t="shared" si="1"/>
        <v>8</v>
      </c>
      <c r="B10" s="43" t="s">
        <v>21</v>
      </c>
      <c r="C10" s="10">
        <f>19270.45+16217.66</f>
        <v>35488.11</v>
      </c>
      <c r="D10" s="26">
        <f>C10+ноябрь!D10</f>
        <v>451803.92000000004</v>
      </c>
      <c r="E10" s="11">
        <f>20498.6+18795.09</f>
        <v>39293.69</v>
      </c>
      <c r="F10" s="26">
        <f>E10+ноябрь!F10</f>
        <v>428148.26000000007</v>
      </c>
      <c r="G10" s="26">
        <f t="shared" si="0"/>
        <v>3805.5800000000017</v>
      </c>
      <c r="H10" s="28">
        <f t="shared" si="0"/>
        <v>-23655.659999999974</v>
      </c>
      <c r="I10" s="11">
        <v>40036.730000000003</v>
      </c>
      <c r="J10" s="28">
        <f>I10+ноябрь!J10</f>
        <v>370247.28</v>
      </c>
      <c r="K10" s="10">
        <v>40036.730000000003</v>
      </c>
      <c r="L10" s="26">
        <f>ноябрь!L10</f>
        <v>330210.55000000005</v>
      </c>
    </row>
    <row r="11" spans="1:13">
      <c r="A11" s="1">
        <f t="shared" si="1"/>
        <v>9</v>
      </c>
      <c r="B11" s="43" t="s">
        <v>22</v>
      </c>
      <c r="C11" s="10">
        <f>-442.12+0</f>
        <v>-442.12</v>
      </c>
      <c r="D11" s="26">
        <f>C11+ноябрь!D11</f>
        <v>308101.62000000005</v>
      </c>
      <c r="E11" s="11">
        <f>3089.01+1347.27</f>
        <v>4436.2800000000007</v>
      </c>
      <c r="F11" s="26">
        <f>E11+ноябрь!F11</f>
        <v>327341.02999999997</v>
      </c>
      <c r="G11" s="26">
        <f t="shared" si="0"/>
        <v>4878.4000000000005</v>
      </c>
      <c r="H11" s="28">
        <f t="shared" si="0"/>
        <v>19239.409999999916</v>
      </c>
      <c r="I11" s="11">
        <v>40870.97</v>
      </c>
      <c r="J11" s="28">
        <f>I11+ноябрь!J11</f>
        <v>389084.68000000005</v>
      </c>
      <c r="K11" s="10">
        <v>42665.85</v>
      </c>
      <c r="L11" s="26">
        <f>ноябрь!L11</f>
        <v>223093.88</v>
      </c>
    </row>
    <row r="12" spans="1:13">
      <c r="A12" s="1">
        <f t="shared" si="1"/>
        <v>10</v>
      </c>
      <c r="B12" s="43" t="s">
        <v>23</v>
      </c>
      <c r="C12" s="10">
        <v>-301.36</v>
      </c>
      <c r="D12" s="26">
        <f>C12+ноябрь!D12</f>
        <v>210022.72</v>
      </c>
      <c r="E12" s="11">
        <f>1220.02+537.26</f>
        <v>1757.28</v>
      </c>
      <c r="F12" s="26">
        <f>E12+ноябрь!F12</f>
        <v>211726.43</v>
      </c>
      <c r="G12" s="26">
        <f t="shared" si="0"/>
        <v>2058.64</v>
      </c>
      <c r="H12" s="28">
        <f t="shared" si="0"/>
        <v>1703.7099999999919</v>
      </c>
      <c r="I12" s="11">
        <v>31456.43</v>
      </c>
      <c r="J12" s="28">
        <f>I12+ноябрь!J12</f>
        <v>650616.92000000004</v>
      </c>
      <c r="K12" s="10"/>
      <c r="L12" s="26">
        <f>ноябрь!L12</f>
        <v>0</v>
      </c>
    </row>
    <row r="13" spans="1:13">
      <c r="A13" s="1">
        <f t="shared" si="1"/>
        <v>11</v>
      </c>
      <c r="B13" s="43" t="s">
        <v>24</v>
      </c>
      <c r="C13" s="10">
        <f>13293.4+10872.99</f>
        <v>24166.39</v>
      </c>
      <c r="D13" s="26">
        <f>C13+ноябрь!D13</f>
        <v>344253.68</v>
      </c>
      <c r="E13" s="11">
        <f>12830.96+13187.48</f>
        <v>26018.44</v>
      </c>
      <c r="F13" s="26">
        <f>E13+ноябрь!F13</f>
        <v>325279.64</v>
      </c>
      <c r="G13" s="26">
        <f t="shared" si="0"/>
        <v>1852.0499999999993</v>
      </c>
      <c r="H13" s="28">
        <f t="shared" si="0"/>
        <v>-18974.039999999979</v>
      </c>
      <c r="I13" s="11"/>
      <c r="J13" s="28">
        <f>I13+ноябрь!J13</f>
        <v>0</v>
      </c>
      <c r="K13" s="10"/>
      <c r="L13" s="26">
        <f>ноябрь!L13</f>
        <v>0</v>
      </c>
    </row>
    <row r="14" spans="1:13">
      <c r="A14" s="1">
        <f t="shared" si="1"/>
        <v>12</v>
      </c>
      <c r="B14" s="43" t="s">
        <v>25</v>
      </c>
      <c r="C14" s="10">
        <f>3087.88+2525.55</f>
        <v>5613.43</v>
      </c>
      <c r="D14" s="26">
        <f>C14+ноябрь!D14</f>
        <v>79964.03</v>
      </c>
      <c r="E14" s="11">
        <f>2980.51+3063.19</f>
        <v>6043.7000000000007</v>
      </c>
      <c r="F14" s="26">
        <f>E14+ноябрь!F14</f>
        <v>75602.13</v>
      </c>
      <c r="G14" s="26">
        <f t="shared" si="0"/>
        <v>430.27000000000044</v>
      </c>
      <c r="H14" s="28">
        <f t="shared" si="0"/>
        <v>-4361.8999999999942</v>
      </c>
      <c r="I14" s="11"/>
      <c r="J14" s="28">
        <f>I14+ноябрь!J14</f>
        <v>0</v>
      </c>
      <c r="K14" s="10"/>
      <c r="L14" s="26">
        <f>ноябрь!L14</f>
        <v>0</v>
      </c>
    </row>
    <row r="15" spans="1:13">
      <c r="A15" s="1">
        <f t="shared" si="1"/>
        <v>13</v>
      </c>
      <c r="B15" s="43" t="s">
        <v>26</v>
      </c>
      <c r="C15" s="10"/>
      <c r="D15" s="26">
        <f>C15+ноябрь!D15</f>
        <v>0</v>
      </c>
      <c r="E15" s="11"/>
      <c r="F15" s="26">
        <f>E15+ноябрь!F15</f>
        <v>0</v>
      </c>
      <c r="G15" s="26">
        <f t="shared" si="0"/>
        <v>0</v>
      </c>
      <c r="H15" s="28">
        <f t="shared" si="0"/>
        <v>0</v>
      </c>
      <c r="I15" s="11"/>
      <c r="J15" s="28">
        <f>I15+ноябрь!J15</f>
        <v>0</v>
      </c>
      <c r="K15" s="10"/>
      <c r="L15" s="26">
        <f>ноябрь!L15</f>
        <v>0</v>
      </c>
    </row>
    <row r="16" spans="1:13">
      <c r="A16" s="1">
        <f t="shared" si="1"/>
        <v>14</v>
      </c>
      <c r="B16" s="43" t="str">
        <f>ноябрь!B16</f>
        <v>Содержание и ремонт АППЗ</v>
      </c>
      <c r="C16" s="10">
        <f>1096.72+877.54</f>
        <v>1974.26</v>
      </c>
      <c r="D16" s="26">
        <f>C16+ноябрь!D16</f>
        <v>26431.62</v>
      </c>
      <c r="E16" s="11">
        <f>1029.28+1061.92</f>
        <v>2091.1999999999998</v>
      </c>
      <c r="F16" s="26">
        <f>E16+ноябрь!F16</f>
        <v>24813.33</v>
      </c>
      <c r="G16" s="26">
        <f t="shared" si="0"/>
        <v>116.93999999999983</v>
      </c>
      <c r="H16" s="28">
        <f t="shared" si="0"/>
        <v>-1618.2899999999972</v>
      </c>
      <c r="I16" s="11"/>
      <c r="J16" s="28">
        <f>I16+ноябрь!J16</f>
        <v>0</v>
      </c>
      <c r="K16" s="10"/>
      <c r="L16" s="26">
        <f>ноябрь!L16</f>
        <v>0</v>
      </c>
    </row>
    <row r="17" spans="1:12">
      <c r="A17" s="1">
        <f t="shared" si="1"/>
        <v>15</v>
      </c>
      <c r="B17" s="43" t="str">
        <f>ноябрь!B17</f>
        <v>Содержание и ремонт лифтов</v>
      </c>
      <c r="C17" s="10">
        <f>7998.38+6399.63</f>
        <v>14398.01</v>
      </c>
      <c r="D17" s="26">
        <f>C17+ноябрь!D17</f>
        <v>181232.44</v>
      </c>
      <c r="E17" s="11">
        <f>7452.87+7725.67</f>
        <v>15178.54</v>
      </c>
      <c r="F17" s="26">
        <f>E17+ноябрь!F17</f>
        <v>168896.85</v>
      </c>
      <c r="G17" s="26">
        <f t="shared" si="0"/>
        <v>780.53000000000065</v>
      </c>
      <c r="H17" s="28">
        <f t="shared" si="0"/>
        <v>-12335.589999999997</v>
      </c>
      <c r="I17" s="11"/>
      <c r="J17" s="28">
        <f>I17+ноябрь!J17</f>
        <v>0</v>
      </c>
      <c r="K17" s="10"/>
      <c r="L17" s="26">
        <f>ноябрь!L17</f>
        <v>0</v>
      </c>
    </row>
    <row r="18" spans="1:12">
      <c r="A18" s="1">
        <f t="shared" si="1"/>
        <v>16</v>
      </c>
      <c r="B18" s="43" t="str">
        <f>ноябрь!B18</f>
        <v>Эксплуатация коллективных</v>
      </c>
      <c r="C18" s="10">
        <f>2119.67+1733.67</f>
        <v>3853.34</v>
      </c>
      <c r="D18" s="26">
        <f>C18+ноябрь!D18</f>
        <v>53505.61</v>
      </c>
      <c r="E18" s="11">
        <f>2045.1+2102.31</f>
        <v>4147.41</v>
      </c>
      <c r="F18" s="26">
        <f>E18+ноябрь!F18</f>
        <v>48636.899999999994</v>
      </c>
      <c r="G18" s="26">
        <f t="shared" si="0"/>
        <v>294.06999999999971</v>
      </c>
      <c r="H18" s="28">
        <f t="shared" si="0"/>
        <v>-4868.7100000000064</v>
      </c>
      <c r="I18" s="11"/>
      <c r="J18" s="28">
        <f>I18+ноябрь!J18</f>
        <v>0</v>
      </c>
      <c r="K18" s="10"/>
      <c r="L18" s="26">
        <f>ноябрь!L18</f>
        <v>0</v>
      </c>
    </row>
    <row r="19" spans="1:12">
      <c r="A19" s="1">
        <f t="shared" si="1"/>
        <v>17</v>
      </c>
      <c r="B19" s="43" t="str">
        <f>ноябрь!B19</f>
        <v>Водоотведение кв.</v>
      </c>
      <c r="C19" s="10">
        <f>33417.85+27491.52</f>
        <v>60909.369999999995</v>
      </c>
      <c r="D19" s="26">
        <f>C19+ноябрь!D19</f>
        <v>243783.25999999998</v>
      </c>
      <c r="E19" s="11">
        <f>29210.84+29499.09</f>
        <v>58709.93</v>
      </c>
      <c r="F19" s="26">
        <f>E19+ноябрь!F19</f>
        <v>173101.50999999998</v>
      </c>
      <c r="G19" s="26">
        <f t="shared" si="0"/>
        <v>-2199.4399999999951</v>
      </c>
      <c r="H19" s="28">
        <f t="shared" si="0"/>
        <v>-70681.75</v>
      </c>
      <c r="I19" s="11"/>
      <c r="J19" s="28">
        <f>I19+ноябрь!J19</f>
        <v>0</v>
      </c>
      <c r="K19" s="10"/>
      <c r="L19" s="26">
        <f>ноябрь!L19</f>
        <v>0</v>
      </c>
    </row>
    <row r="20" spans="1:12">
      <c r="A20" s="1">
        <f t="shared" si="1"/>
        <v>18</v>
      </c>
      <c r="B20" s="43" t="str">
        <f>ноябрь!B20</f>
        <v>Водоотведение общед.н.</v>
      </c>
      <c r="C20" s="10">
        <f>3292.42+2091.19</f>
        <v>5383.6100000000006</v>
      </c>
      <c r="D20" s="26">
        <f>C20+ноябрь!D20</f>
        <v>31944.06</v>
      </c>
      <c r="E20" s="11">
        <f>952.81+884.55</f>
        <v>1837.36</v>
      </c>
      <c r="F20" s="26">
        <f>E20+ноябрь!F20</f>
        <v>21616.61</v>
      </c>
      <c r="G20" s="26">
        <f t="shared" si="0"/>
        <v>-3546.2500000000009</v>
      </c>
      <c r="H20" s="28">
        <f t="shared" si="0"/>
        <v>-10327.450000000001</v>
      </c>
      <c r="I20" s="11"/>
      <c r="J20" s="28">
        <f>I20+ноябрь!J20</f>
        <v>0</v>
      </c>
      <c r="K20" s="10"/>
      <c r="L20" s="26">
        <f>ноябрь!L20</f>
        <v>0</v>
      </c>
    </row>
    <row r="21" spans="1:12">
      <c r="A21" s="1">
        <f t="shared" si="1"/>
        <v>19</v>
      </c>
      <c r="B21" s="43" t="s">
        <v>52</v>
      </c>
      <c r="C21" s="10">
        <f>3292.42+2515.23</f>
        <v>5807.65</v>
      </c>
      <c r="D21" s="26">
        <f>C21+ноябрь!D21</f>
        <v>22786.980000000003</v>
      </c>
      <c r="E21" s="11">
        <f>5941.92+5736.73</f>
        <v>11678.65</v>
      </c>
      <c r="F21" s="26">
        <f>E21+ноябрь!F21</f>
        <v>13523.65</v>
      </c>
      <c r="G21" s="26">
        <f t="shared" si="0"/>
        <v>5871</v>
      </c>
      <c r="H21" s="28">
        <f t="shared" si="0"/>
        <v>-9263.3300000000036</v>
      </c>
      <c r="I21" s="11"/>
      <c r="J21" s="28">
        <f>I21+ноябрь!J21</f>
        <v>0</v>
      </c>
      <c r="K21" s="10"/>
      <c r="L21" s="26">
        <f>ноябрь!L21</f>
        <v>0</v>
      </c>
    </row>
    <row r="22" spans="1:12">
      <c r="A22" s="1">
        <f t="shared" si="1"/>
        <v>20</v>
      </c>
      <c r="B22" s="45" t="s">
        <v>53</v>
      </c>
      <c r="C22" s="10">
        <f>14757.43+13180.61</f>
        <v>27938.04</v>
      </c>
      <c r="D22" s="26">
        <f>C22+ноябрь!D22</f>
        <v>48540.78</v>
      </c>
      <c r="E22" s="11">
        <f>6500.47+7409.63</f>
        <v>13910.1</v>
      </c>
      <c r="F22" s="26">
        <f>E22+ноябрь!F22</f>
        <v>14962.17</v>
      </c>
      <c r="G22" s="26">
        <f t="shared" si="0"/>
        <v>-14027.94</v>
      </c>
      <c r="H22" s="28">
        <f t="shared" si="0"/>
        <v>-33578.61</v>
      </c>
      <c r="I22" s="11"/>
      <c r="J22" s="28">
        <f>I22+ноябрь!J22</f>
        <v>0</v>
      </c>
      <c r="K22" s="10"/>
      <c r="L22" s="26">
        <f>ноябрь!L22</f>
        <v>0</v>
      </c>
    </row>
    <row r="23" spans="1:12">
      <c r="A23" s="31"/>
      <c r="B23" s="29" t="s">
        <v>13</v>
      </c>
      <c r="C23" s="26">
        <f t="shared" ref="C23:L23" si="2">SUM(C3:C22)</f>
        <v>517302.41</v>
      </c>
      <c r="D23" s="26">
        <f t="shared" si="2"/>
        <v>5744263.1000000006</v>
      </c>
      <c r="E23" s="28">
        <f t="shared" si="2"/>
        <v>464383.52999999997</v>
      </c>
      <c r="F23" s="26">
        <f t="shared" si="2"/>
        <v>5272934.97</v>
      </c>
      <c r="G23" s="26">
        <f t="shared" si="2"/>
        <v>-52918.87999999999</v>
      </c>
      <c r="H23" s="28">
        <f t="shared" si="2"/>
        <v>-471328.13000000006</v>
      </c>
      <c r="I23" s="28">
        <f t="shared" si="2"/>
        <v>535971.02</v>
      </c>
      <c r="J23" s="28">
        <f t="shared" si="2"/>
        <v>5181865.54</v>
      </c>
      <c r="K23" s="26">
        <f t="shared" si="2"/>
        <v>82702.58</v>
      </c>
      <c r="L23" s="26">
        <f t="shared" si="2"/>
        <v>2910983.13</v>
      </c>
    </row>
    <row r="24" spans="1:12" ht="15.75">
      <c r="A24" s="46" t="s">
        <v>54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E4" sqref="E4"/>
    </sheetView>
  </sheetViews>
  <sheetFormatPr defaultRowHeight="12.75"/>
  <cols>
    <col min="1" max="1" width="4.140625" customWidth="1"/>
    <col min="2" max="2" width="21" customWidth="1"/>
  </cols>
  <sheetData>
    <row r="3" spans="1:12">
      <c r="A3" s="1" t="s">
        <v>0</v>
      </c>
      <c r="B3" s="6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2">
      <c r="A4" s="1">
        <v>1</v>
      </c>
      <c r="B4" s="8" t="s">
        <v>16</v>
      </c>
      <c r="C4" s="3"/>
      <c r="D4" s="3">
        <f>Декабрь11!D5+Январь!C4</f>
        <v>103565.29999999999</v>
      </c>
      <c r="E4" s="2"/>
      <c r="F4" s="3">
        <f>Декабрь11!E5+Январь!E4</f>
        <v>72133.42</v>
      </c>
      <c r="G4" s="3">
        <f>E4-C4</f>
        <v>0</v>
      </c>
      <c r="H4" s="2">
        <f>F4-D4</f>
        <v>-31431.87999999999</v>
      </c>
      <c r="I4" s="2"/>
      <c r="J4" s="2">
        <f>Декабрь11!J5+Январь!I4</f>
        <v>425759.68</v>
      </c>
      <c r="K4" s="3"/>
      <c r="L4" s="3">
        <f>K4+Декабрь11!L5</f>
        <v>0</v>
      </c>
    </row>
    <row r="5" spans="1:12">
      <c r="A5" s="1">
        <f>A4+1</f>
        <v>2</v>
      </c>
      <c r="B5" s="8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>
      <c r="A6" s="1">
        <f t="shared" ref="A6:A23" si="0">A5+1</f>
        <v>3</v>
      </c>
      <c r="B6" s="8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>
      <c r="A7" s="1">
        <f t="shared" si="0"/>
        <v>4</v>
      </c>
      <c r="B7" s="8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>
      <c r="A8" s="1">
        <f t="shared" si="0"/>
        <v>5</v>
      </c>
      <c r="B8" s="8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>
      <c r="A9" s="1">
        <f t="shared" si="0"/>
        <v>6</v>
      </c>
      <c r="B9" s="8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>
      <c r="A10" s="1">
        <f t="shared" si="0"/>
        <v>7</v>
      </c>
      <c r="B10" s="8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>
      <c r="A11" s="1">
        <f t="shared" si="0"/>
        <v>8</v>
      </c>
      <c r="B11" s="8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>
      <c r="A12" s="1">
        <f t="shared" si="0"/>
        <v>9</v>
      </c>
      <c r="B12" s="8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>
      <c r="A13" s="1">
        <f t="shared" si="0"/>
        <v>10</v>
      </c>
      <c r="B13" s="8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>
      <c r="A14" s="1">
        <f t="shared" si="0"/>
        <v>11</v>
      </c>
      <c r="B14" s="8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>
      <c r="A15" s="1">
        <f t="shared" si="0"/>
        <v>12</v>
      </c>
      <c r="B15" s="8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>
      <c r="A16" s="1">
        <f t="shared" si="0"/>
        <v>13</v>
      </c>
      <c r="B16" s="8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>
      <c r="A17" s="1">
        <f t="shared" si="0"/>
        <v>14</v>
      </c>
      <c r="B17" s="8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>
      <c r="A18" s="1">
        <f t="shared" si="0"/>
        <v>15</v>
      </c>
      <c r="B18" s="8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>
      <c r="A19" s="1">
        <f t="shared" si="0"/>
        <v>16</v>
      </c>
      <c r="B19" s="8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>
      <c r="A20" s="1">
        <f t="shared" si="0"/>
        <v>17</v>
      </c>
      <c r="B20" s="8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>
      <c r="A21" s="1">
        <f t="shared" si="0"/>
        <v>18</v>
      </c>
      <c r="B21" s="8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>
      <c r="A22" s="1">
        <f t="shared" si="0"/>
        <v>19</v>
      </c>
      <c r="B22" s="8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>
      <c r="A23" s="1">
        <f t="shared" si="0"/>
        <v>20</v>
      </c>
      <c r="B23" s="8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>
      <c r="A24" s="1"/>
      <c r="B24" s="8" t="s">
        <v>13</v>
      </c>
      <c r="C24" s="3">
        <f t="shared" ref="C24:L24" si="1">SUM(C4:C23)</f>
        <v>0</v>
      </c>
      <c r="D24" s="3">
        <f t="shared" si="1"/>
        <v>103565.29999999999</v>
      </c>
      <c r="E24" s="2">
        <f t="shared" si="1"/>
        <v>0</v>
      </c>
      <c r="F24" s="3">
        <f t="shared" si="1"/>
        <v>72133.42</v>
      </c>
      <c r="G24" s="3">
        <f t="shared" si="1"/>
        <v>0</v>
      </c>
      <c r="H24" s="2">
        <f t="shared" si="1"/>
        <v>-31431.87999999999</v>
      </c>
      <c r="I24" s="2">
        <f t="shared" si="1"/>
        <v>0</v>
      </c>
      <c r="J24" s="2">
        <f t="shared" si="1"/>
        <v>425759.68</v>
      </c>
      <c r="K24" s="3">
        <f t="shared" si="1"/>
        <v>0</v>
      </c>
      <c r="L24" s="3">
        <f t="shared" si="1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K12" sqref="K12"/>
    </sheetView>
  </sheetViews>
  <sheetFormatPr defaultRowHeight="12.75"/>
  <cols>
    <col min="1" max="1" width="5.7109375" customWidth="1"/>
    <col min="2" max="2" width="26.140625" customWidth="1"/>
    <col min="3" max="4" width="10.42578125" customWidth="1"/>
    <col min="5" max="5" width="10.28515625" customWidth="1"/>
    <col min="6" max="6" width="10.85546875" customWidth="1"/>
    <col min="7" max="7" width="11.5703125" customWidth="1"/>
    <col min="8" max="9" width="11.140625" customWidth="1"/>
    <col min="10" max="10" width="10.85546875" customWidth="1"/>
    <col min="11" max="11" width="10.140625" bestFit="1" customWidth="1"/>
    <col min="12" max="12" width="11" customWidth="1"/>
    <col min="13" max="13" width="10.7109375" bestFit="1" customWidth="1"/>
    <col min="14" max="14" width="10.140625" bestFit="1" customWidth="1"/>
  </cols>
  <sheetData>
    <row r="1" spans="1:14">
      <c r="E1" s="15"/>
      <c r="F1" s="16" t="s">
        <v>30</v>
      </c>
      <c r="G1" s="16"/>
      <c r="I1" t="s">
        <v>37</v>
      </c>
    </row>
    <row r="2" spans="1:14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4" ht="15.75">
      <c r="A3" s="1">
        <v>1</v>
      </c>
      <c r="B3" s="17" t="s">
        <v>14</v>
      </c>
      <c r="C3" s="10">
        <f>34617.4+14467.28</f>
        <v>49084.68</v>
      </c>
      <c r="D3" s="26">
        <f>Декабрь11!D4+Январь!C3</f>
        <v>49084.68</v>
      </c>
      <c r="E3" s="11">
        <f>25486.75+8673.16</f>
        <v>34159.910000000003</v>
      </c>
      <c r="F3" s="26">
        <f>Декабрь11!E4+Январь!E3</f>
        <v>34159.910000000003</v>
      </c>
      <c r="G3" s="26">
        <f>E3-C3</f>
        <v>-14924.769999999997</v>
      </c>
      <c r="H3" s="28">
        <f>F3-D3</f>
        <v>-14924.769999999997</v>
      </c>
      <c r="I3" s="11"/>
      <c r="J3" s="28">
        <f>Декабрь11!J4+Январь!I3</f>
        <v>0</v>
      </c>
      <c r="K3" s="10"/>
      <c r="L3" s="26">
        <f>K3+Декабрь11!L4</f>
        <v>0</v>
      </c>
    </row>
    <row r="4" spans="1:14" ht="15.75">
      <c r="A4" s="1">
        <f>A3+1</f>
        <v>2</v>
      </c>
      <c r="B4" s="17" t="s">
        <v>15</v>
      </c>
      <c r="C4" s="10">
        <f>73040.29+30525.01</f>
        <v>103565.29999999999</v>
      </c>
      <c r="D4" s="26">
        <f>Декабрь11!D5+Январь!C4</f>
        <v>103565.29999999999</v>
      </c>
      <c r="E4" s="11">
        <f>53832.51+18300.91</f>
        <v>72133.42</v>
      </c>
      <c r="F4" s="26">
        <f>Декабрь11!E5+Январь!E4</f>
        <v>72133.42</v>
      </c>
      <c r="G4" s="26">
        <f t="shared" ref="G4:G22" si="0">E4-C4</f>
        <v>-31431.87999999999</v>
      </c>
      <c r="H4" s="28">
        <f t="shared" ref="H4:H22" si="1">F4-D4</f>
        <v>-31431.87999999999</v>
      </c>
      <c r="I4" s="11">
        <v>425759.68</v>
      </c>
      <c r="J4" s="28">
        <f>Декабрь11!J5+Январь!I4</f>
        <v>425759.68</v>
      </c>
      <c r="K4" s="10">
        <v>147579.91</v>
      </c>
      <c r="L4" s="26">
        <f>K4+Декабрь11!L5</f>
        <v>147579.91</v>
      </c>
      <c r="M4" s="37">
        <f>K4-I4</f>
        <v>-278179.77</v>
      </c>
      <c r="N4" s="37"/>
    </row>
    <row r="5" spans="1:14" ht="15.75">
      <c r="A5" s="1">
        <f t="shared" ref="A5:A22" si="2">A4+1</f>
        <v>3</v>
      </c>
      <c r="B5" s="17" t="s">
        <v>17</v>
      </c>
      <c r="C5" s="10">
        <f>79863.84+28440.72</f>
        <v>108304.56</v>
      </c>
      <c r="D5" s="26">
        <f>Декабрь11!D6+Январь!C5</f>
        <v>108304.56</v>
      </c>
      <c r="E5" s="11">
        <f>52960.08+19614.71</f>
        <v>72574.790000000008</v>
      </c>
      <c r="F5" s="26">
        <f>Декабрь11!E6+Январь!E5</f>
        <v>72574.790000000008</v>
      </c>
      <c r="G5" s="26">
        <f t="shared" si="0"/>
        <v>-35729.76999999999</v>
      </c>
      <c r="H5" s="28">
        <f t="shared" si="1"/>
        <v>-35729.76999999999</v>
      </c>
      <c r="I5" s="11"/>
      <c r="J5" s="28">
        <f>Декабрь11!J6+Январь!I5</f>
        <v>0</v>
      </c>
      <c r="K5" s="10"/>
      <c r="L5" s="26">
        <f>K5+Декабрь11!L6</f>
        <v>0</v>
      </c>
    </row>
    <row r="6" spans="1:14" ht="15.75">
      <c r="A6" s="1">
        <f t="shared" si="2"/>
        <v>4</v>
      </c>
      <c r="B6" s="17" t="s">
        <v>18</v>
      </c>
      <c r="C6" s="10"/>
      <c r="D6" s="26">
        <f>Декабрь11!D7+Январь!C6</f>
        <v>0</v>
      </c>
      <c r="E6" s="11"/>
      <c r="F6" s="26">
        <f>Декабрь11!E7+Январь!E6</f>
        <v>0</v>
      </c>
      <c r="G6" s="26">
        <f t="shared" si="0"/>
        <v>0</v>
      </c>
      <c r="H6" s="28">
        <f t="shared" si="1"/>
        <v>0</v>
      </c>
      <c r="I6" s="11"/>
      <c r="J6" s="28">
        <f>Декабрь11!J7+Январь!I6</f>
        <v>0</v>
      </c>
      <c r="K6" s="10"/>
      <c r="L6" s="26">
        <f>K6+Декабрь11!L7</f>
        <v>0</v>
      </c>
    </row>
    <row r="7" spans="1:14" ht="15.75">
      <c r="A7" s="1">
        <f t="shared" si="2"/>
        <v>5</v>
      </c>
      <c r="B7" s="18" t="s">
        <v>19</v>
      </c>
      <c r="C7" s="10">
        <f>5278.48+2206</f>
        <v>7484.48</v>
      </c>
      <c r="D7" s="26">
        <f>Декабрь11!D8+Январь!C7</f>
        <v>7484.48</v>
      </c>
      <c r="E7" s="11">
        <f>3895.52+1322.59</f>
        <v>5218.1099999999997</v>
      </c>
      <c r="F7" s="26">
        <f>Декабрь11!E8+Январь!E7</f>
        <v>5218.1099999999997</v>
      </c>
      <c r="G7" s="26">
        <f t="shared" si="0"/>
        <v>-2266.37</v>
      </c>
      <c r="H7" s="28">
        <f t="shared" si="1"/>
        <v>-2266.37</v>
      </c>
      <c r="I7" s="11"/>
      <c r="J7" s="28">
        <f>Декабрь11!J8+Январь!I7</f>
        <v>0</v>
      </c>
      <c r="K7" s="10"/>
      <c r="L7" s="26">
        <f>K7+Декабрь11!L8</f>
        <v>0</v>
      </c>
    </row>
    <row r="8" spans="1:14" ht="15.75">
      <c r="A8" s="1">
        <f t="shared" si="2"/>
        <v>6</v>
      </c>
      <c r="B8" s="17" t="s">
        <v>29</v>
      </c>
      <c r="C8" s="10">
        <f>4132.81+1727.19</f>
        <v>5860</v>
      </c>
      <c r="D8" s="26">
        <f>Декабрь11!D9+Январь!C8</f>
        <v>5860</v>
      </c>
      <c r="E8" s="11">
        <f>3043.08+1035.5</f>
        <v>4078.58</v>
      </c>
      <c r="F8" s="26">
        <f>Декабрь11!E9+Январь!E8</f>
        <v>4078.58</v>
      </c>
      <c r="G8" s="26">
        <f t="shared" si="0"/>
        <v>-1781.42</v>
      </c>
      <c r="H8" s="28">
        <f t="shared" si="1"/>
        <v>-1781.42</v>
      </c>
      <c r="I8" s="11"/>
      <c r="J8" s="28">
        <f>Декабрь11!J9+Январь!I8</f>
        <v>0</v>
      </c>
      <c r="K8" s="10"/>
      <c r="L8" s="26">
        <f>K8+Декабрь11!L9</f>
        <v>0</v>
      </c>
    </row>
    <row r="9" spans="1:14" ht="15.75">
      <c r="A9" s="1">
        <f t="shared" si="2"/>
        <v>7</v>
      </c>
      <c r="B9" s="17" t="s">
        <v>20</v>
      </c>
      <c r="C9" s="10">
        <f>40410.53+14390.75</f>
        <v>54801.279999999999</v>
      </c>
      <c r="D9" s="26">
        <f>Декабрь11!D10+Январь!C9</f>
        <v>54801.279999999999</v>
      </c>
      <c r="E9" s="11">
        <f>21369.44+7533.14</f>
        <v>28902.579999999998</v>
      </c>
      <c r="F9" s="26">
        <f>Декабрь11!E10+Январь!E9</f>
        <v>28902.579999999998</v>
      </c>
      <c r="G9" s="26">
        <f t="shared" si="0"/>
        <v>-25898.7</v>
      </c>
      <c r="H9" s="28">
        <f t="shared" si="1"/>
        <v>-25898.7</v>
      </c>
      <c r="I9" s="11">
        <v>70795.199999999997</v>
      </c>
      <c r="J9" s="28">
        <f>Декабрь11!J10+Январь!I9</f>
        <v>70795.199999999997</v>
      </c>
      <c r="K9" s="10"/>
      <c r="L9" s="26">
        <f>K9+Декабрь11!L10</f>
        <v>0</v>
      </c>
    </row>
    <row r="10" spans="1:14" ht="15.75">
      <c r="A10" s="1">
        <f t="shared" si="2"/>
        <v>8</v>
      </c>
      <c r="B10" s="17" t="s">
        <v>21</v>
      </c>
      <c r="C10" s="10">
        <f>29348.03+10451.32</f>
        <v>39799.35</v>
      </c>
      <c r="D10" s="26">
        <f>Декабрь11!D11+Январь!C10</f>
        <v>39799.35</v>
      </c>
      <c r="E10" s="11">
        <f>18065.29+6534.82</f>
        <v>24600.11</v>
      </c>
      <c r="F10" s="26">
        <f>Декабрь11!E11+Январь!E10</f>
        <v>24600.11</v>
      </c>
      <c r="G10" s="26">
        <f t="shared" si="0"/>
        <v>-15199.239999999998</v>
      </c>
      <c r="H10" s="28">
        <f t="shared" si="1"/>
        <v>-15199.239999999998</v>
      </c>
      <c r="I10" s="11">
        <v>69089.86</v>
      </c>
      <c r="J10" s="28">
        <f>Декабрь11!J11+Январь!I10</f>
        <v>69089.86</v>
      </c>
      <c r="K10" s="10">
        <v>69089.86</v>
      </c>
      <c r="L10" s="26">
        <f>K10+Декабрь11!L11</f>
        <v>69089.86</v>
      </c>
    </row>
    <row r="11" spans="1:14" ht="15.75">
      <c r="A11" s="1">
        <f t="shared" si="2"/>
        <v>9</v>
      </c>
      <c r="B11" s="17" t="s">
        <v>22</v>
      </c>
      <c r="C11" s="10">
        <f>29348.03+10451.32</f>
        <v>39799.35</v>
      </c>
      <c r="D11" s="26">
        <f>Декабрь11!D12+Январь!C11</f>
        <v>39799.35</v>
      </c>
      <c r="E11" s="11">
        <f>18065.29+6534.82</f>
        <v>24600.11</v>
      </c>
      <c r="F11" s="26">
        <f>Декабрь11!E12+Январь!E11</f>
        <v>24600.11</v>
      </c>
      <c r="G11" s="26">
        <f t="shared" si="0"/>
        <v>-15199.239999999998</v>
      </c>
      <c r="H11" s="28">
        <f t="shared" si="1"/>
        <v>-15199.239999999998</v>
      </c>
      <c r="I11" s="11">
        <f>69089.86+9822.35</f>
        <v>78912.210000000006</v>
      </c>
      <c r="J11" s="28">
        <f>Декабрь11!J12+Январь!I11</f>
        <v>78912.210000000006</v>
      </c>
      <c r="K11" s="10">
        <v>191727.82</v>
      </c>
      <c r="L11" s="26">
        <f>K11+Декабрь11!L12</f>
        <v>191727.82</v>
      </c>
    </row>
    <row r="12" spans="1:14" ht="15.75">
      <c r="A12" s="1">
        <f t="shared" si="2"/>
        <v>10</v>
      </c>
      <c r="B12" s="17" t="s">
        <v>23</v>
      </c>
      <c r="C12" s="10">
        <f>20003.98+7123.8</f>
        <v>27127.78</v>
      </c>
      <c r="D12" s="26">
        <f>Декабрь11!D13+Январь!C12</f>
        <v>27127.78</v>
      </c>
      <c r="E12" s="11">
        <f>13254.49+4913.06</f>
        <v>18167.55</v>
      </c>
      <c r="F12" s="26">
        <f>Декабрь11!E13+Январь!E12</f>
        <v>18167.55</v>
      </c>
      <c r="G12" s="26">
        <f t="shared" si="0"/>
        <v>-8960.23</v>
      </c>
      <c r="H12" s="28">
        <f t="shared" si="1"/>
        <v>-8960.23</v>
      </c>
      <c r="I12" s="11">
        <v>330612.98</v>
      </c>
      <c r="J12" s="28">
        <f>Декабрь11!J13+Январь!I12</f>
        <v>330612.98</v>
      </c>
      <c r="K12" s="10"/>
      <c r="L12" s="26">
        <f>K12+Декабрь11!L13</f>
        <v>0</v>
      </c>
    </row>
    <row r="13" spans="1:14" ht="15.75">
      <c r="A13" s="1">
        <f t="shared" si="2"/>
        <v>11</v>
      </c>
      <c r="B13" s="17" t="s">
        <v>24</v>
      </c>
      <c r="C13" s="10">
        <f>20786.83+8687.19</f>
        <v>29474.020000000004</v>
      </c>
      <c r="D13" s="26">
        <f>Декабрь11!D14+Январь!C13</f>
        <v>29474.020000000004</v>
      </c>
      <c r="E13" s="11">
        <f>15324.13+5208.14</f>
        <v>20532.27</v>
      </c>
      <c r="F13" s="26">
        <f>Декабрь11!E14+Январь!E13</f>
        <v>20532.27</v>
      </c>
      <c r="G13" s="26">
        <f t="shared" si="0"/>
        <v>-8941.7500000000036</v>
      </c>
      <c r="H13" s="28">
        <f t="shared" si="1"/>
        <v>-8941.7500000000036</v>
      </c>
      <c r="I13" s="11"/>
      <c r="J13" s="28">
        <f>Декабрь11!J14+Январь!I13</f>
        <v>0</v>
      </c>
      <c r="K13" s="10"/>
      <c r="L13" s="26">
        <f>K13+Декабрь11!L14</f>
        <v>0</v>
      </c>
    </row>
    <row r="14" spans="1:14" ht="15.75">
      <c r="A14" s="1">
        <f t="shared" si="2"/>
        <v>12</v>
      </c>
      <c r="B14" s="17" t="s">
        <v>25</v>
      </c>
      <c r="C14" s="10">
        <f>4828.43+2017.86</f>
        <v>6846.29</v>
      </c>
      <c r="D14" s="26">
        <f>Декабрь11!D15+Январь!C14</f>
        <v>6846.29</v>
      </c>
      <c r="E14" s="11">
        <f>3563.38+1209.78</f>
        <v>4773.16</v>
      </c>
      <c r="F14" s="26">
        <f>Декабрь11!E15+Январь!E14</f>
        <v>4773.16</v>
      </c>
      <c r="G14" s="26">
        <f t="shared" si="0"/>
        <v>-2073.13</v>
      </c>
      <c r="H14" s="28">
        <f t="shared" si="1"/>
        <v>-2073.13</v>
      </c>
      <c r="I14" s="11"/>
      <c r="J14" s="28">
        <f>Декабрь11!J15+Январь!I14</f>
        <v>0</v>
      </c>
      <c r="K14" s="10"/>
      <c r="L14" s="26">
        <f>K14+Декабрь11!L15</f>
        <v>0</v>
      </c>
    </row>
    <row r="15" spans="1:14" ht="15.75">
      <c r="A15" s="1">
        <f t="shared" si="2"/>
        <v>13</v>
      </c>
      <c r="B15" s="17" t="s">
        <v>26</v>
      </c>
      <c r="C15" s="10"/>
      <c r="D15" s="26">
        <f>Декабрь11!D16+Январь!C15</f>
        <v>0</v>
      </c>
      <c r="E15" s="11"/>
      <c r="F15" s="26">
        <f>Декабрь11!E16+Январь!E15</f>
        <v>0</v>
      </c>
      <c r="G15" s="26">
        <f t="shared" si="0"/>
        <v>0</v>
      </c>
      <c r="H15" s="28">
        <f t="shared" si="1"/>
        <v>0</v>
      </c>
      <c r="I15" s="11"/>
      <c r="J15" s="28">
        <f>Декабрь11!J16+Январь!I15</f>
        <v>0</v>
      </c>
      <c r="K15" s="10"/>
      <c r="L15" s="26">
        <f>K15+Декабрь11!L16</f>
        <v>0</v>
      </c>
    </row>
    <row r="16" spans="1:14" ht="15.75">
      <c r="A16" s="1">
        <f t="shared" si="2"/>
        <v>14</v>
      </c>
      <c r="B16" s="17" t="s">
        <v>27</v>
      </c>
      <c r="C16" s="10">
        <f>1554.89+649.84</f>
        <v>2204.73</v>
      </c>
      <c r="D16" s="26">
        <f>Декабрь11!D17+Январь!C16</f>
        <v>2204.73</v>
      </c>
      <c r="E16" s="11">
        <f>1147.51+389.6</f>
        <v>1537.1100000000001</v>
      </c>
      <c r="F16" s="26">
        <f>Декабрь11!E17+Январь!E16</f>
        <v>1537.1100000000001</v>
      </c>
      <c r="G16" s="26">
        <f t="shared" si="0"/>
        <v>-667.61999999999989</v>
      </c>
      <c r="H16" s="28">
        <f t="shared" si="1"/>
        <v>-667.61999999999989</v>
      </c>
      <c r="I16" s="11"/>
      <c r="J16" s="28">
        <f>Декабрь11!J17+Январь!I16</f>
        <v>0</v>
      </c>
      <c r="K16" s="10"/>
      <c r="L16" s="26">
        <f>K16+Декабрь11!L17</f>
        <v>0</v>
      </c>
    </row>
    <row r="17" spans="1:12" ht="15.75">
      <c r="A17" s="1">
        <f t="shared" si="2"/>
        <v>15</v>
      </c>
      <c r="B17" s="17" t="s">
        <v>28</v>
      </c>
      <c r="C17" s="10">
        <f>10311.52+4309.41</f>
        <v>14620.93</v>
      </c>
      <c r="D17" s="26">
        <f>Декабрь11!D18+Январь!C17</f>
        <v>14620.93</v>
      </c>
      <c r="E17" s="11">
        <f>7591.9+2583.49</f>
        <v>10175.39</v>
      </c>
      <c r="F17" s="26">
        <f>Декабрь11!E18+Январь!E17</f>
        <v>10175.39</v>
      </c>
      <c r="G17" s="26">
        <f t="shared" si="0"/>
        <v>-4445.5400000000009</v>
      </c>
      <c r="H17" s="28">
        <f t="shared" si="1"/>
        <v>-4445.5400000000009</v>
      </c>
      <c r="I17" s="11"/>
      <c r="J17" s="28">
        <f>Декабрь11!J18+Январь!I17</f>
        <v>0</v>
      </c>
      <c r="K17" s="10"/>
      <c r="L17" s="26">
        <f>K17+Декабрь11!L18</f>
        <v>0</v>
      </c>
    </row>
    <row r="18" spans="1:12">
      <c r="A18" s="1">
        <f t="shared" si="2"/>
        <v>16</v>
      </c>
      <c r="B18" s="19" t="s">
        <v>36</v>
      </c>
      <c r="C18" s="10">
        <v>3314.44</v>
      </c>
      <c r="D18" s="26">
        <f>Декабрь11!D19+Январь!C18</f>
        <v>3314.44</v>
      </c>
      <c r="E18" s="11">
        <v>2344.1999999999998</v>
      </c>
      <c r="F18" s="26">
        <f>Декабрь11!E19+Январь!E18</f>
        <v>2344.1999999999998</v>
      </c>
      <c r="G18" s="26">
        <f t="shared" si="0"/>
        <v>-970.24000000000024</v>
      </c>
      <c r="H18" s="28">
        <f t="shared" si="1"/>
        <v>-970.24000000000024</v>
      </c>
      <c r="I18" s="11"/>
      <c r="J18" s="28">
        <f>Декабрь11!J19+Январь!I18</f>
        <v>0</v>
      </c>
      <c r="K18" s="10"/>
      <c r="L18" s="26">
        <f>K18+Декабрь11!L19</f>
        <v>0</v>
      </c>
    </row>
    <row r="19" spans="1:12">
      <c r="A19" s="1">
        <f t="shared" si="2"/>
        <v>17</v>
      </c>
      <c r="B19" s="8" t="s">
        <v>31</v>
      </c>
      <c r="C19" s="10"/>
      <c r="D19" s="26">
        <f>Декабрь11!D20+Январь!C19</f>
        <v>0</v>
      </c>
      <c r="E19" s="11"/>
      <c r="F19" s="26">
        <f>Декабрь11!E20+Январь!E19</f>
        <v>0</v>
      </c>
      <c r="G19" s="26">
        <f t="shared" si="0"/>
        <v>0</v>
      </c>
      <c r="H19" s="28">
        <f t="shared" si="1"/>
        <v>0</v>
      </c>
      <c r="I19" s="11"/>
      <c r="J19" s="28">
        <f>Декабрь11!J20+Январь!I19</f>
        <v>0</v>
      </c>
      <c r="K19" s="10"/>
      <c r="L19" s="26">
        <f>K19+Декабрь11!L20</f>
        <v>0</v>
      </c>
    </row>
    <row r="20" spans="1:12">
      <c r="A20" s="1">
        <f t="shared" si="2"/>
        <v>18</v>
      </c>
      <c r="B20" s="8"/>
      <c r="D20" s="26">
        <f>Декабрь11!D21+Январь!C20</f>
        <v>0</v>
      </c>
      <c r="E20" s="11"/>
      <c r="F20" s="26">
        <f>Декабрь11!E21+Январь!E20</f>
        <v>0</v>
      </c>
      <c r="G20" s="26">
        <f t="shared" si="0"/>
        <v>0</v>
      </c>
      <c r="H20" s="28">
        <f t="shared" si="1"/>
        <v>0</v>
      </c>
      <c r="I20" s="11"/>
      <c r="J20" s="28">
        <f>Декабрь11!J21+Январь!I20</f>
        <v>0</v>
      </c>
      <c r="K20" s="10"/>
      <c r="L20" s="26">
        <f>K20+Декабрь11!L21</f>
        <v>0</v>
      </c>
    </row>
    <row r="21" spans="1:12">
      <c r="A21" s="1">
        <f t="shared" si="2"/>
        <v>19</v>
      </c>
      <c r="B21" s="8"/>
      <c r="C21" s="10"/>
      <c r="D21" s="26">
        <f>Декабрь11!D22+Январь!C21</f>
        <v>0</v>
      </c>
      <c r="E21" s="11"/>
      <c r="F21" s="26">
        <f>Декабрь11!E22+Январь!E21</f>
        <v>0</v>
      </c>
      <c r="G21" s="26">
        <f t="shared" si="0"/>
        <v>0</v>
      </c>
      <c r="H21" s="28">
        <f t="shared" si="1"/>
        <v>0</v>
      </c>
      <c r="I21" s="11"/>
      <c r="J21" s="28">
        <f>Декабрь11!J22+Январь!I21</f>
        <v>0</v>
      </c>
      <c r="K21" s="10"/>
      <c r="L21" s="26">
        <f>K21+Декабрь11!L22</f>
        <v>0</v>
      </c>
    </row>
    <row r="22" spans="1:12">
      <c r="A22" s="1">
        <f t="shared" si="2"/>
        <v>20</v>
      </c>
      <c r="B22" s="8"/>
      <c r="C22" s="10"/>
      <c r="D22" s="26">
        <f>Декабрь11!D23+Январь!C22</f>
        <v>0</v>
      </c>
      <c r="E22" s="11"/>
      <c r="F22" s="26">
        <f>Декабрь11!E23+Январь!E22</f>
        <v>0</v>
      </c>
      <c r="G22" s="26">
        <f t="shared" si="0"/>
        <v>0</v>
      </c>
      <c r="H22" s="28">
        <f t="shared" si="1"/>
        <v>0</v>
      </c>
      <c r="I22" s="11"/>
      <c r="J22" s="28">
        <f>Декабрь11!J23+Январь!I22</f>
        <v>0</v>
      </c>
      <c r="K22" s="10"/>
      <c r="L22" s="26">
        <f>K22+Декабрь11!L23</f>
        <v>0</v>
      </c>
    </row>
    <row r="23" spans="1:12">
      <c r="A23" s="31"/>
      <c r="B23" s="29" t="s">
        <v>13</v>
      </c>
      <c r="C23" s="26">
        <f t="shared" ref="C23:L23" si="3">SUM(C3:C22)</f>
        <v>492287.18999999989</v>
      </c>
      <c r="D23" s="26">
        <f t="shared" si="3"/>
        <v>492287.18999999989</v>
      </c>
      <c r="E23" s="28">
        <f t="shared" si="3"/>
        <v>323797.28999999992</v>
      </c>
      <c r="F23" s="26">
        <f t="shared" si="3"/>
        <v>323797.28999999992</v>
      </c>
      <c r="G23" s="26">
        <f t="shared" si="3"/>
        <v>-168489.89999999997</v>
      </c>
      <c r="H23" s="28">
        <f t="shared" si="3"/>
        <v>-168489.89999999997</v>
      </c>
      <c r="I23" s="28">
        <f t="shared" si="3"/>
        <v>975169.92999999993</v>
      </c>
      <c r="J23" s="28">
        <f t="shared" si="3"/>
        <v>975169.92999999993</v>
      </c>
      <c r="K23" s="26">
        <f t="shared" si="3"/>
        <v>408397.59</v>
      </c>
      <c r="L23" s="26">
        <f t="shared" si="3"/>
        <v>408397.59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K11" sqref="K11"/>
    </sheetView>
  </sheetViews>
  <sheetFormatPr defaultRowHeight="12.75"/>
  <cols>
    <col min="1" max="1" width="5.7109375" customWidth="1"/>
    <col min="2" max="2" width="27.7109375" customWidth="1"/>
    <col min="3" max="3" width="11.85546875" customWidth="1"/>
    <col min="4" max="4" width="10.85546875" customWidth="1"/>
    <col min="5" max="5" width="10.7109375" customWidth="1"/>
    <col min="6" max="6" width="10.28515625" customWidth="1"/>
    <col min="7" max="7" width="11" customWidth="1"/>
    <col min="8" max="8" width="12.140625" customWidth="1"/>
    <col min="9" max="9" width="10.28515625" customWidth="1"/>
    <col min="10" max="10" width="11" customWidth="1"/>
    <col min="11" max="11" width="10.140625" bestFit="1" customWidth="1"/>
    <col min="12" max="12" width="10.28515625" customWidth="1"/>
    <col min="13" max="13" width="10.7109375" bestFit="1" customWidth="1"/>
  </cols>
  <sheetData>
    <row r="1" spans="1:13">
      <c r="E1" s="15"/>
      <c r="F1" s="16" t="s">
        <v>30</v>
      </c>
      <c r="G1" s="16"/>
      <c r="I1" t="s">
        <v>38</v>
      </c>
    </row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32026.53+17058.15</f>
        <v>49084.68</v>
      </c>
      <c r="D3" s="26">
        <f>C3+Январь!D3</f>
        <v>98169.36</v>
      </c>
      <c r="E3" s="11">
        <f>31845.03+18353.71</f>
        <v>50198.74</v>
      </c>
      <c r="F3" s="26">
        <f>E3+Январь!F3</f>
        <v>84358.65</v>
      </c>
      <c r="G3" s="26">
        <f>E3-C3</f>
        <v>1114.0599999999977</v>
      </c>
      <c r="H3" s="28">
        <f>F3-D3</f>
        <v>-13810.710000000006</v>
      </c>
      <c r="I3" s="11"/>
      <c r="J3" s="28">
        <f>I3+Январь!J3</f>
        <v>0</v>
      </c>
      <c r="K3" s="10"/>
      <c r="L3" s="26">
        <f>K3+Январь!L3</f>
        <v>0</v>
      </c>
    </row>
    <row r="4" spans="1:13" ht="15.75">
      <c r="A4" s="1">
        <f>A3+1</f>
        <v>2</v>
      </c>
      <c r="B4" s="17" t="s">
        <v>15</v>
      </c>
      <c r="C4" s="10">
        <f>67573.73+35991.57</f>
        <v>103565.29999999999</v>
      </c>
      <c r="D4" s="26">
        <f>C4+Январь!D4</f>
        <v>207130.59999999998</v>
      </c>
      <c r="E4" s="11">
        <f>67376.21+38808.43</f>
        <v>106184.64000000001</v>
      </c>
      <c r="F4" s="26">
        <f>E4+Январь!F4</f>
        <v>178318.06</v>
      </c>
      <c r="G4" s="26">
        <f t="shared" ref="G4:H22" si="0">E4-C4</f>
        <v>2619.3400000000256</v>
      </c>
      <c r="H4" s="28">
        <f t="shared" si="0"/>
        <v>-28812.539999999979</v>
      </c>
      <c r="I4" s="11">
        <v>535202.07999999996</v>
      </c>
      <c r="J4" s="28">
        <f>I4+Январь!J4</f>
        <v>960961.76</v>
      </c>
      <c r="K4" s="10">
        <v>414161.42</v>
      </c>
      <c r="L4" s="26">
        <f>K4+Январь!L4</f>
        <v>561741.32999999996</v>
      </c>
      <c r="M4" s="37">
        <f>L4-J4</f>
        <v>-399220.43000000005</v>
      </c>
    </row>
    <row r="5" spans="1:13" ht="15.75">
      <c r="A5" s="1">
        <f t="shared" ref="A5:A22" si="1">A4+1</f>
        <v>3</v>
      </c>
      <c r="B5" s="17" t="s">
        <v>17</v>
      </c>
      <c r="C5" s="10">
        <f>75267.36+33037.2</f>
        <v>108304.56</v>
      </c>
      <c r="D5" s="26">
        <f>C5+Январь!D5</f>
        <v>216609.12</v>
      </c>
      <c r="E5" s="11">
        <f>67110.46+24283.34</f>
        <v>91393.8</v>
      </c>
      <c r="F5" s="26">
        <f>E5+Январь!F5</f>
        <v>163968.59000000003</v>
      </c>
      <c r="G5" s="26">
        <f t="shared" si="0"/>
        <v>-16910.759999999995</v>
      </c>
      <c r="H5" s="28">
        <f t="shared" si="0"/>
        <v>-52640.52999999997</v>
      </c>
      <c r="I5" s="11"/>
      <c r="J5" s="28">
        <f>I5+Январь!J5</f>
        <v>0</v>
      </c>
      <c r="K5" s="10"/>
      <c r="L5" s="26">
        <f>K5+Январь!L5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C6+Январь!D6</f>
        <v>0</v>
      </c>
      <c r="E6" s="11"/>
      <c r="F6" s="26">
        <f>E6+Январь!F6</f>
        <v>0</v>
      </c>
      <c r="G6" s="26">
        <f t="shared" si="0"/>
        <v>0</v>
      </c>
      <c r="H6" s="28">
        <f t="shared" si="0"/>
        <v>0</v>
      </c>
      <c r="I6" s="11"/>
      <c r="J6" s="28">
        <f>I6+Январь!J6</f>
        <v>0</v>
      </c>
      <c r="K6" s="10"/>
      <c r="L6" s="26">
        <f>K6+Январь!L6</f>
        <v>0</v>
      </c>
    </row>
    <row r="7" spans="1:13" ht="15.75">
      <c r="A7" s="1">
        <f t="shared" si="1"/>
        <v>5</v>
      </c>
      <c r="B7" s="18" t="s">
        <v>19</v>
      </c>
      <c r="C7" s="10">
        <f>4883.42+2601.06</f>
        <v>7484.48</v>
      </c>
      <c r="D7" s="26">
        <f>C7+Январь!D7</f>
        <v>14968.96</v>
      </c>
      <c r="E7" s="11">
        <f>4880.75+2804.62</f>
        <v>7685.37</v>
      </c>
      <c r="F7" s="26">
        <f>E7+Январь!F7</f>
        <v>12903.48</v>
      </c>
      <c r="G7" s="26">
        <f t="shared" si="0"/>
        <v>200.89000000000033</v>
      </c>
      <c r="H7" s="28">
        <f t="shared" si="0"/>
        <v>-2065.4799999999996</v>
      </c>
      <c r="I7" s="11"/>
      <c r="J7" s="28">
        <f>I7+Январь!J7</f>
        <v>0</v>
      </c>
      <c r="K7" s="10"/>
      <c r="L7" s="26">
        <f>K7+Январь!L7</f>
        <v>0</v>
      </c>
    </row>
    <row r="8" spans="1:13" ht="15.75">
      <c r="A8" s="1">
        <f t="shared" si="1"/>
        <v>6</v>
      </c>
      <c r="B8" s="17" t="s">
        <v>29</v>
      </c>
      <c r="C8" s="10">
        <f>3823.5+2036.5</f>
        <v>5860</v>
      </c>
      <c r="D8" s="26">
        <f>C8+Январь!D8</f>
        <v>11720</v>
      </c>
      <c r="E8" s="11">
        <f>3802.72+2191.36</f>
        <v>5994.08</v>
      </c>
      <c r="F8" s="26">
        <f>E8+Январь!F8</f>
        <v>10072.66</v>
      </c>
      <c r="G8" s="26">
        <f t="shared" si="0"/>
        <v>134.07999999999993</v>
      </c>
      <c r="H8" s="28">
        <f t="shared" si="0"/>
        <v>-1647.3400000000001</v>
      </c>
      <c r="I8" s="11"/>
      <c r="J8" s="28">
        <f>I8+Январь!J8</f>
        <v>0</v>
      </c>
      <c r="K8" s="10"/>
      <c r="L8" s="26">
        <f>K8+Январь!L8</f>
        <v>0</v>
      </c>
    </row>
    <row r="9" spans="1:13" ht="15.75">
      <c r="A9" s="1">
        <f t="shared" si="1"/>
        <v>7</v>
      </c>
      <c r="B9" s="17" t="s">
        <v>20</v>
      </c>
      <c r="C9" s="10">
        <f>32418.22+14229.28</f>
        <v>46647.5</v>
      </c>
      <c r="D9" s="26">
        <f>C9+Январь!D9</f>
        <v>101448.78</v>
      </c>
      <c r="E9" s="11">
        <f>30800.02+10854.85</f>
        <v>41654.870000000003</v>
      </c>
      <c r="F9" s="26">
        <f>E9+Январь!F9</f>
        <v>70557.45</v>
      </c>
      <c r="G9" s="26">
        <f t="shared" si="0"/>
        <v>-4992.6299999999974</v>
      </c>
      <c r="H9" s="28">
        <f t="shared" si="0"/>
        <v>-30891.33</v>
      </c>
      <c r="I9" s="11">
        <v>100900.8</v>
      </c>
      <c r="J9" s="28">
        <f>I9+Январь!J9</f>
        <v>171696</v>
      </c>
      <c r="K9" s="10"/>
      <c r="L9" s="26">
        <f>K9+Январь!L9</f>
        <v>0</v>
      </c>
    </row>
    <row r="10" spans="1:13" ht="15.75">
      <c r="A10" s="1">
        <f t="shared" si="1"/>
        <v>8</v>
      </c>
      <c r="B10" s="17" t="s">
        <v>21</v>
      </c>
      <c r="C10" s="10">
        <f>27658.93+12140.43</f>
        <v>39799.360000000001</v>
      </c>
      <c r="D10" s="26">
        <f>C10+Январь!D10</f>
        <v>79598.709999999992</v>
      </c>
      <c r="E10" s="11">
        <f>23344.71+8225.36</f>
        <v>31570.07</v>
      </c>
      <c r="F10" s="26">
        <f>E10+Январь!F10</f>
        <v>56170.18</v>
      </c>
      <c r="G10" s="26">
        <f t="shared" si="0"/>
        <v>-8229.2900000000009</v>
      </c>
      <c r="H10" s="28">
        <f t="shared" si="0"/>
        <v>-23428.529999999992</v>
      </c>
      <c r="I10" s="11">
        <v>22848.62</v>
      </c>
      <c r="J10" s="28">
        <f>I10+Январь!J10</f>
        <v>91938.48</v>
      </c>
      <c r="K10" s="10">
        <v>22848.62</v>
      </c>
      <c r="L10" s="26">
        <f>K10+Январь!L10</f>
        <v>91938.48</v>
      </c>
    </row>
    <row r="11" spans="1:13" ht="15.75">
      <c r="A11" s="1">
        <f t="shared" si="1"/>
        <v>9</v>
      </c>
      <c r="B11" s="17" t="s">
        <v>22</v>
      </c>
      <c r="C11" s="10">
        <f>27658.93+12140.43</f>
        <v>39799.360000000001</v>
      </c>
      <c r="D11" s="26">
        <f>C11+Январь!D11</f>
        <v>79598.709999999992</v>
      </c>
      <c r="E11" s="11">
        <f>23346.04+8227.03</f>
        <v>31573.07</v>
      </c>
      <c r="F11" s="26">
        <f>E11+Январь!F11</f>
        <v>56173.18</v>
      </c>
      <c r="G11" s="26">
        <f t="shared" si="0"/>
        <v>-8226.2900000000009</v>
      </c>
      <c r="H11" s="28">
        <f t="shared" si="0"/>
        <v>-23425.529999999992</v>
      </c>
      <c r="I11" s="11">
        <v>23628.99</v>
      </c>
      <c r="J11" s="28">
        <f>I11+Январь!J11</f>
        <v>102541.20000000001</v>
      </c>
      <c r="K11" s="10"/>
      <c r="L11" s="26">
        <f>K11+Январь!L11</f>
        <v>191727.82</v>
      </c>
    </row>
    <row r="12" spans="1:13" ht="15.75">
      <c r="A12" s="1">
        <f t="shared" si="1"/>
        <v>10</v>
      </c>
      <c r="B12" s="17" t="s">
        <v>23</v>
      </c>
      <c r="C12" s="10">
        <f>18852.66+8275.1</f>
        <v>27127.760000000002</v>
      </c>
      <c r="D12" s="26">
        <f>C12+Январь!D12</f>
        <v>54255.54</v>
      </c>
      <c r="E12" s="11">
        <f>16831.19+6083.14</f>
        <v>22914.329999999998</v>
      </c>
      <c r="F12" s="26">
        <f>E12+Январь!F12</f>
        <v>41081.879999999997</v>
      </c>
      <c r="G12" s="26">
        <f t="shared" si="0"/>
        <v>-4213.4300000000039</v>
      </c>
      <c r="H12" s="28">
        <f t="shared" si="0"/>
        <v>-13173.660000000003</v>
      </c>
      <c r="I12" s="11">
        <v>26267.86</v>
      </c>
      <c r="J12" s="28">
        <f>I12+Январь!J12</f>
        <v>356880.83999999997</v>
      </c>
      <c r="K12" s="10"/>
      <c r="L12" s="26">
        <f>K12+Январь!L12</f>
        <v>0</v>
      </c>
    </row>
    <row r="13" spans="1:13" ht="15.75">
      <c r="A13" s="1">
        <f t="shared" si="1"/>
        <v>11</v>
      </c>
      <c r="B13" s="17" t="s">
        <v>24</v>
      </c>
      <c r="C13" s="10">
        <f>19231.08+10242.94</f>
        <v>29474.020000000004</v>
      </c>
      <c r="D13" s="26">
        <f>C13+Январь!D13</f>
        <v>58948.040000000008</v>
      </c>
      <c r="E13" s="11">
        <f>19175.96+11033.84</f>
        <v>30209.8</v>
      </c>
      <c r="F13" s="26">
        <f>E13+Январь!F13</f>
        <v>50742.07</v>
      </c>
      <c r="G13" s="26">
        <f t="shared" si="0"/>
        <v>735.7799999999952</v>
      </c>
      <c r="H13" s="28">
        <f t="shared" si="0"/>
        <v>-8205.9700000000084</v>
      </c>
      <c r="I13" s="11"/>
      <c r="J13" s="28">
        <f>I13+Январь!J13</f>
        <v>0</v>
      </c>
      <c r="K13" s="10"/>
      <c r="L13" s="26">
        <f>K13+Январь!L13</f>
        <v>0</v>
      </c>
    </row>
    <row r="14" spans="1:13" ht="15.75">
      <c r="A14" s="1">
        <f t="shared" si="1"/>
        <v>12</v>
      </c>
      <c r="B14" s="17" t="s">
        <v>25</v>
      </c>
      <c r="C14" s="10">
        <f>4467.06+2379.23</f>
        <v>6846.2900000000009</v>
      </c>
      <c r="D14" s="26">
        <f>C14+Январь!D14</f>
        <v>13692.580000000002</v>
      </c>
      <c r="E14" s="11">
        <f>4464.6+2565.46</f>
        <v>7030.06</v>
      </c>
      <c r="F14" s="26">
        <f>E14+Январь!F14</f>
        <v>11803.220000000001</v>
      </c>
      <c r="G14" s="26">
        <f t="shared" si="0"/>
        <v>183.76999999999953</v>
      </c>
      <c r="H14" s="28">
        <f t="shared" si="0"/>
        <v>-1889.3600000000006</v>
      </c>
      <c r="I14" s="11"/>
      <c r="J14" s="28">
        <f>I14+Январь!J14</f>
        <v>0</v>
      </c>
      <c r="K14" s="10"/>
      <c r="L14" s="26">
        <f>K14+Январь!L14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C15+Январь!D15</f>
        <v>0</v>
      </c>
      <c r="E15" s="11"/>
      <c r="F15" s="26">
        <f>E15+Январь!F15</f>
        <v>0</v>
      </c>
      <c r="G15" s="26">
        <f t="shared" si="0"/>
        <v>0</v>
      </c>
      <c r="H15" s="28">
        <f t="shared" si="0"/>
        <v>0</v>
      </c>
      <c r="I15" s="11"/>
      <c r="J15" s="28">
        <f>I15+Январь!J15</f>
        <v>0</v>
      </c>
      <c r="K15" s="10"/>
      <c r="L15" s="26">
        <f>K15+Январь!L15</f>
        <v>0</v>
      </c>
    </row>
    <row r="16" spans="1:13" ht="15.75">
      <c r="A16" s="1">
        <f t="shared" si="1"/>
        <v>14</v>
      </c>
      <c r="B16" s="17" t="s">
        <v>27</v>
      </c>
      <c r="C16" s="10">
        <f>1438.52+766.21</f>
        <v>2204.73</v>
      </c>
      <c r="D16" s="26">
        <f>C16+Январь!D16</f>
        <v>4409.46</v>
      </c>
      <c r="E16" s="11">
        <f>1437.7+826.18</f>
        <v>2263.88</v>
      </c>
      <c r="F16" s="26">
        <f>E16+Январь!F16</f>
        <v>3800.9900000000002</v>
      </c>
      <c r="G16" s="26">
        <f t="shared" si="0"/>
        <v>59.150000000000091</v>
      </c>
      <c r="H16" s="28">
        <f t="shared" si="0"/>
        <v>-608.4699999999998</v>
      </c>
      <c r="I16" s="11"/>
      <c r="J16" s="28">
        <f>I16+Январь!J16</f>
        <v>0</v>
      </c>
      <c r="K16" s="10"/>
      <c r="L16" s="26">
        <f>K16+Январь!L16</f>
        <v>0</v>
      </c>
    </row>
    <row r="17" spans="1:12" ht="15.75">
      <c r="A17" s="1">
        <f t="shared" si="1"/>
        <v>15</v>
      </c>
      <c r="B17" s="17" t="s">
        <v>28</v>
      </c>
      <c r="C17" s="10">
        <f>9539.78+5081.15</f>
        <v>14620.93</v>
      </c>
      <c r="D17" s="26">
        <f>C17+Январь!D17</f>
        <v>29241.86</v>
      </c>
      <c r="E17" s="11">
        <f>9486.06+5467.18</f>
        <v>14953.24</v>
      </c>
      <c r="F17" s="26">
        <f>E17+Январь!F17</f>
        <v>25128.629999999997</v>
      </c>
      <c r="G17" s="26">
        <f t="shared" si="0"/>
        <v>332.30999999999949</v>
      </c>
      <c r="H17" s="28">
        <f t="shared" si="0"/>
        <v>-4113.2300000000032</v>
      </c>
      <c r="I17" s="11"/>
      <c r="J17" s="28">
        <f>I17+Январь!J17</f>
        <v>0</v>
      </c>
      <c r="K17" s="10"/>
      <c r="L17" s="26">
        <f>K17+Январь!L17</f>
        <v>0</v>
      </c>
    </row>
    <row r="18" spans="1:12">
      <c r="A18" s="1">
        <f t="shared" si="1"/>
        <v>16</v>
      </c>
      <c r="B18" s="20" t="s">
        <v>36</v>
      </c>
      <c r="C18" s="10">
        <f>3066.37+1633.22</f>
        <v>4699.59</v>
      </c>
      <c r="D18" s="26">
        <f>C18+Январь!D18</f>
        <v>8014.0300000000007</v>
      </c>
      <c r="E18" s="11">
        <f>2784.86+136.01</f>
        <v>2920.87</v>
      </c>
      <c r="F18" s="26">
        <f>E18+Январь!F18</f>
        <v>5265.07</v>
      </c>
      <c r="G18" s="26">
        <f t="shared" si="0"/>
        <v>-1778.7200000000003</v>
      </c>
      <c r="H18" s="28">
        <f t="shared" si="0"/>
        <v>-2748.9600000000009</v>
      </c>
      <c r="I18" s="11"/>
      <c r="J18" s="28">
        <f>I18+Январь!J18</f>
        <v>0</v>
      </c>
      <c r="K18" s="10"/>
      <c r="L18" s="26">
        <f>K18+Январь!L18</f>
        <v>0</v>
      </c>
    </row>
    <row r="19" spans="1:12">
      <c r="A19" s="1">
        <f t="shared" si="1"/>
        <v>17</v>
      </c>
      <c r="B19" s="8" t="s">
        <v>31</v>
      </c>
      <c r="C19" s="8"/>
      <c r="D19" s="26">
        <f>C19+Январь!D19</f>
        <v>0</v>
      </c>
      <c r="E19" s="11"/>
      <c r="F19" s="26">
        <f>E19+Январь!F19</f>
        <v>0</v>
      </c>
      <c r="G19" s="26">
        <f t="shared" si="0"/>
        <v>0</v>
      </c>
      <c r="H19" s="28">
        <f t="shared" si="0"/>
        <v>0</v>
      </c>
      <c r="I19" s="11"/>
      <c r="J19" s="28">
        <f>I19+Январь!J19</f>
        <v>0</v>
      </c>
      <c r="K19" s="11"/>
      <c r="L19" s="26">
        <f>K19+Январь!L19</f>
        <v>0</v>
      </c>
    </row>
    <row r="20" spans="1:12">
      <c r="A20" s="1">
        <f t="shared" si="1"/>
        <v>18</v>
      </c>
      <c r="B20" s="8"/>
      <c r="C20" s="10"/>
      <c r="D20" s="26">
        <f>C20+Январь!D20</f>
        <v>0</v>
      </c>
      <c r="E20" s="11"/>
      <c r="F20" s="26">
        <f>E20+Январь!F20</f>
        <v>0</v>
      </c>
      <c r="G20" s="26">
        <f t="shared" si="0"/>
        <v>0</v>
      </c>
      <c r="H20" s="28">
        <f t="shared" si="0"/>
        <v>0</v>
      </c>
      <c r="I20" s="11"/>
      <c r="J20" s="28">
        <f>I20+Январь!J20</f>
        <v>0</v>
      </c>
      <c r="K20" s="10"/>
      <c r="L20" s="26">
        <f>K20+Январь!L20</f>
        <v>0</v>
      </c>
    </row>
    <row r="21" spans="1:12">
      <c r="A21" s="1">
        <f t="shared" si="1"/>
        <v>19</v>
      </c>
      <c r="B21" s="8"/>
      <c r="C21" s="10"/>
      <c r="D21" s="26">
        <f>C21+Январь!D21</f>
        <v>0</v>
      </c>
      <c r="E21" s="11"/>
      <c r="F21" s="26">
        <f>E21+Январь!F21</f>
        <v>0</v>
      </c>
      <c r="G21" s="26">
        <f t="shared" si="0"/>
        <v>0</v>
      </c>
      <c r="H21" s="28">
        <f t="shared" si="0"/>
        <v>0</v>
      </c>
      <c r="I21" s="11"/>
      <c r="J21" s="28">
        <f>I21+Январь!J21</f>
        <v>0</v>
      </c>
      <c r="K21" s="10"/>
      <c r="L21" s="26">
        <f>K21+Январь!L21</f>
        <v>0</v>
      </c>
    </row>
    <row r="22" spans="1:12">
      <c r="A22" s="1">
        <f t="shared" si="1"/>
        <v>20</v>
      </c>
      <c r="B22" s="8"/>
      <c r="C22" s="10"/>
      <c r="D22" s="26">
        <f>C22+Январь!D22</f>
        <v>0</v>
      </c>
      <c r="E22" s="11"/>
      <c r="F22" s="26">
        <f>E22+Январь!F22</f>
        <v>0</v>
      </c>
      <c r="G22" s="26">
        <f t="shared" si="0"/>
        <v>0</v>
      </c>
      <c r="H22" s="28">
        <f t="shared" si="0"/>
        <v>0</v>
      </c>
      <c r="I22" s="11"/>
      <c r="J22" s="28">
        <f>I22+Январь!J22</f>
        <v>0</v>
      </c>
      <c r="K22" s="10"/>
      <c r="L22" s="26">
        <f>K22+Январь!L22</f>
        <v>0</v>
      </c>
    </row>
    <row r="23" spans="1:12">
      <c r="A23" s="31"/>
      <c r="B23" s="29" t="s">
        <v>13</v>
      </c>
      <c r="C23" s="26">
        <f t="shared" ref="C23:L23" si="2">SUM(C3:C22)</f>
        <v>485518.55999999994</v>
      </c>
      <c r="D23" s="26">
        <f t="shared" si="2"/>
        <v>977805.74999999988</v>
      </c>
      <c r="E23" s="28">
        <f t="shared" si="2"/>
        <v>446546.82</v>
      </c>
      <c r="F23" s="26">
        <f t="shared" si="2"/>
        <v>770344.10999999987</v>
      </c>
      <c r="G23" s="26">
        <f t="shared" si="2"/>
        <v>-38971.739999999976</v>
      </c>
      <c r="H23" s="28">
        <f t="shared" si="2"/>
        <v>-207461.63999999993</v>
      </c>
      <c r="I23" s="28">
        <f t="shared" si="2"/>
        <v>708848.35</v>
      </c>
      <c r="J23" s="28">
        <f t="shared" si="2"/>
        <v>1684018.2799999998</v>
      </c>
      <c r="K23" s="26">
        <f t="shared" si="2"/>
        <v>437010.04</v>
      </c>
      <c r="L23" s="26">
        <f t="shared" si="2"/>
        <v>845407.62999999989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topLeftCell="B1" workbookViewId="0">
      <selection activeCell="K11" sqref="K11"/>
    </sheetView>
  </sheetViews>
  <sheetFormatPr defaultRowHeight="12.75"/>
  <cols>
    <col min="1" max="1" width="4.85546875" customWidth="1"/>
    <col min="2" max="2" width="25.42578125" customWidth="1"/>
    <col min="3" max="3" width="11.140625" customWidth="1"/>
    <col min="4" max="4" width="11.5703125" customWidth="1"/>
    <col min="5" max="6" width="10.85546875" customWidth="1"/>
    <col min="7" max="7" width="11.7109375" customWidth="1"/>
    <col min="8" max="8" width="10.5703125" customWidth="1"/>
    <col min="9" max="9" width="11" customWidth="1"/>
    <col min="10" max="10" width="12" customWidth="1"/>
    <col min="11" max="11" width="11.85546875" customWidth="1"/>
    <col min="12" max="12" width="11" customWidth="1"/>
    <col min="13" max="13" width="10.7109375" bestFit="1" customWidth="1"/>
  </cols>
  <sheetData>
    <row r="1" spans="1:13">
      <c r="F1" s="15"/>
      <c r="G1" s="16" t="s">
        <v>30</v>
      </c>
      <c r="H1" s="16"/>
      <c r="J1" t="s">
        <v>39</v>
      </c>
    </row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30669.56+18145.69</f>
        <v>48815.25</v>
      </c>
      <c r="D3" s="26">
        <f>C3+февраль!D3</f>
        <v>146984.60999999999</v>
      </c>
      <c r="E3" s="11">
        <f>31176.21+16779.88</f>
        <v>47956.09</v>
      </c>
      <c r="F3" s="26">
        <f>E3+февраль!F3</f>
        <v>132314.74</v>
      </c>
      <c r="G3" s="26">
        <f>E3-C3</f>
        <v>-859.16000000000349</v>
      </c>
      <c r="H3" s="28">
        <f>F3-D3</f>
        <v>-14669.869999999995</v>
      </c>
      <c r="I3" s="11"/>
      <c r="J3" s="28">
        <f>I3+февраль!J3</f>
        <v>0</v>
      </c>
      <c r="K3" s="10"/>
      <c r="L3" s="26">
        <f>K3+февраль!L3</f>
        <v>0</v>
      </c>
    </row>
    <row r="4" spans="1:13" ht="15.75">
      <c r="A4" s="1">
        <f>A3+1</f>
        <v>2</v>
      </c>
      <c r="B4" s="17" t="s">
        <v>15</v>
      </c>
      <c r="C4" s="10">
        <f>64710.59+38286.19</f>
        <v>102996.78</v>
      </c>
      <c r="D4" s="26">
        <f>C4+февраль!D4</f>
        <v>310127.38</v>
      </c>
      <c r="E4" s="11">
        <f>65994.81+35406.54</f>
        <v>101401.35</v>
      </c>
      <c r="F4" s="26">
        <f>E4+февраль!F4</f>
        <v>279719.41000000003</v>
      </c>
      <c r="G4" s="26">
        <f t="shared" ref="G4:H22" si="0">E4-C4</f>
        <v>-1595.429999999993</v>
      </c>
      <c r="H4" s="28">
        <f t="shared" si="0"/>
        <v>-30407.969999999972</v>
      </c>
      <c r="I4" s="11">
        <v>368531.09</v>
      </c>
      <c r="J4" s="28">
        <f>I4+февраль!J4</f>
        <v>1329492.8500000001</v>
      </c>
      <c r="K4" s="10">
        <v>280585.62</v>
      </c>
      <c r="L4" s="26">
        <f>K4+февраль!L4</f>
        <v>842326.95</v>
      </c>
      <c r="M4" s="37">
        <f>L4-J4</f>
        <v>-487165.90000000014</v>
      </c>
    </row>
    <row r="5" spans="1:13" ht="15.75">
      <c r="A5" s="1">
        <f t="shared" ref="A5:A22" si="1">A4+1</f>
        <v>3</v>
      </c>
      <c r="B5" s="17" t="s">
        <v>17</v>
      </c>
      <c r="C5" s="10">
        <f>72969.12+35048.16</f>
        <v>108017.28</v>
      </c>
      <c r="D5" s="26">
        <f>C5+февраль!D5</f>
        <v>324626.40000000002</v>
      </c>
      <c r="E5" s="11">
        <f>64692.24+28054.32</f>
        <v>92746.559999999998</v>
      </c>
      <c r="F5" s="26">
        <f>E5+февраль!F5</f>
        <v>256715.15000000002</v>
      </c>
      <c r="G5" s="26">
        <f t="shared" si="0"/>
        <v>-15270.720000000001</v>
      </c>
      <c r="H5" s="28">
        <f t="shared" si="0"/>
        <v>-67911.25</v>
      </c>
      <c r="I5" s="11"/>
      <c r="J5" s="28">
        <f>I5+февраль!J5</f>
        <v>0</v>
      </c>
      <c r="K5" s="10"/>
      <c r="L5" s="26">
        <f>K5+февраль!L5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C6+февраль!D6</f>
        <v>0</v>
      </c>
      <c r="E6" s="11"/>
      <c r="F6" s="26">
        <f>E6+февраль!F6</f>
        <v>0</v>
      </c>
      <c r="G6" s="26">
        <f t="shared" si="0"/>
        <v>0</v>
      </c>
      <c r="H6" s="28">
        <f t="shared" si="0"/>
        <v>0</v>
      </c>
      <c r="I6" s="11"/>
      <c r="J6" s="28">
        <f>I6+февраль!J6</f>
        <v>0</v>
      </c>
      <c r="K6" s="10"/>
      <c r="L6" s="26">
        <f>K6+февраль!L6</f>
        <v>0</v>
      </c>
    </row>
    <row r="7" spans="1:13" ht="15.75">
      <c r="A7" s="1">
        <f t="shared" si="1"/>
        <v>5</v>
      </c>
      <c r="B7" s="18" t="s">
        <v>19</v>
      </c>
      <c r="C7" s="10">
        <f>4676.52+2766.89</f>
        <v>7443.41</v>
      </c>
      <c r="D7" s="26">
        <f>C7+февраль!D7</f>
        <v>22412.37</v>
      </c>
      <c r="E7" s="11">
        <f>4770.15+2558.79</f>
        <v>7328.94</v>
      </c>
      <c r="F7" s="26">
        <f>E7+февраль!F7</f>
        <v>20232.419999999998</v>
      </c>
      <c r="G7" s="26">
        <f t="shared" si="0"/>
        <v>-114.47000000000025</v>
      </c>
      <c r="H7" s="28">
        <f t="shared" si="0"/>
        <v>-2179.9500000000007</v>
      </c>
      <c r="I7" s="11"/>
      <c r="J7" s="28">
        <f>I7+февраль!J7</f>
        <v>0</v>
      </c>
      <c r="K7" s="10"/>
      <c r="L7" s="26">
        <f>K7+февраль!L7</f>
        <v>0</v>
      </c>
    </row>
    <row r="8" spans="1:13" ht="15.75">
      <c r="A8" s="1">
        <f t="shared" si="1"/>
        <v>6</v>
      </c>
      <c r="B8" s="17" t="s">
        <v>29</v>
      </c>
      <c r="C8" s="10">
        <f>3661.49+2166.34</f>
        <v>5827.83</v>
      </c>
      <c r="D8" s="26">
        <f>C8+февраль!D8</f>
        <v>17547.830000000002</v>
      </c>
      <c r="E8" s="11">
        <f>3722.63+2003.33</f>
        <v>5725.96</v>
      </c>
      <c r="F8" s="26">
        <f>E8+февраль!F8</f>
        <v>15798.619999999999</v>
      </c>
      <c r="G8" s="26">
        <f t="shared" si="0"/>
        <v>-101.86999999999989</v>
      </c>
      <c r="H8" s="28">
        <f t="shared" si="0"/>
        <v>-1749.2100000000028</v>
      </c>
      <c r="I8" s="11"/>
      <c r="J8" s="28">
        <f>I8+февраль!J8</f>
        <v>0</v>
      </c>
      <c r="K8" s="10"/>
      <c r="L8" s="26">
        <f>K8+февраль!L8</f>
        <v>0</v>
      </c>
    </row>
    <row r="9" spans="1:13" ht="15.75">
      <c r="A9" s="1">
        <f t="shared" si="1"/>
        <v>7</v>
      </c>
      <c r="B9" s="17" t="s">
        <v>20</v>
      </c>
      <c r="C9" s="10">
        <f>45758.94+21978.61</f>
        <v>67737.55</v>
      </c>
      <c r="D9" s="26">
        <f>C9+февраль!D9</f>
        <v>169186.33000000002</v>
      </c>
      <c r="E9" s="11">
        <f>28975.81+13520.93</f>
        <v>42496.740000000005</v>
      </c>
      <c r="F9" s="26">
        <f>E9+февраль!F9</f>
        <v>113054.19</v>
      </c>
      <c r="G9" s="26">
        <f t="shared" si="0"/>
        <v>-25240.809999999998</v>
      </c>
      <c r="H9" s="28">
        <f t="shared" si="0"/>
        <v>-56132.140000000014</v>
      </c>
      <c r="I9" s="11">
        <v>60681.599999999999</v>
      </c>
      <c r="J9" s="28">
        <f>I9+февраль!J9</f>
        <v>232377.60000000001</v>
      </c>
      <c r="K9" s="10"/>
      <c r="L9" s="26">
        <f>K9+февраль!L9</f>
        <v>0</v>
      </c>
    </row>
    <row r="10" spans="1:13" ht="15.75">
      <c r="A10" s="1">
        <f t="shared" si="1"/>
        <v>8</v>
      </c>
      <c r="B10" s="17" t="s">
        <v>21</v>
      </c>
      <c r="C10" s="10">
        <f>26814.38+12879.41</f>
        <v>39693.79</v>
      </c>
      <c r="D10" s="26">
        <f>C10+февраль!D10</f>
        <v>119292.5</v>
      </c>
      <c r="E10" s="11">
        <f>24138.7+10416.19</f>
        <v>34554.89</v>
      </c>
      <c r="F10" s="26">
        <f>E10+февраль!F10</f>
        <v>90725.07</v>
      </c>
      <c r="G10" s="26">
        <f t="shared" si="0"/>
        <v>-5138.9000000000015</v>
      </c>
      <c r="H10" s="28">
        <f t="shared" si="0"/>
        <v>-28567.429999999993</v>
      </c>
      <c r="I10" s="11">
        <v>24927.03</v>
      </c>
      <c r="J10" s="28">
        <f>I10+февраль!J10</f>
        <v>116865.51</v>
      </c>
      <c r="K10" s="10">
        <v>24927.03</v>
      </c>
      <c r="L10" s="26">
        <f>K10+февраль!L10</f>
        <v>116865.51</v>
      </c>
    </row>
    <row r="11" spans="1:13" ht="15.75">
      <c r="A11" s="1">
        <f t="shared" si="1"/>
        <v>9</v>
      </c>
      <c r="B11" s="17" t="s">
        <v>22</v>
      </c>
      <c r="C11" s="10">
        <f>26814.38+12879.41</f>
        <v>39693.79</v>
      </c>
      <c r="D11" s="26">
        <f>C11+февраль!D11</f>
        <v>119292.5</v>
      </c>
      <c r="E11" s="11">
        <f>24162.2+10428.03</f>
        <v>34590.230000000003</v>
      </c>
      <c r="F11" s="26">
        <f>E11+февраль!F11</f>
        <v>90763.41</v>
      </c>
      <c r="G11" s="26">
        <f t="shared" si="0"/>
        <v>-5103.5599999999977</v>
      </c>
      <c r="H11" s="28">
        <f t="shared" si="0"/>
        <v>-28529.089999999997</v>
      </c>
      <c r="I11" s="11">
        <v>25761.27</v>
      </c>
      <c r="J11" s="28">
        <f>I11+февраль!J11</f>
        <v>128302.47000000002</v>
      </c>
      <c r="K11" s="10"/>
      <c r="L11" s="26">
        <f>K11+февраль!L11</f>
        <v>191727.82</v>
      </c>
      <c r="M11" t="s">
        <v>43</v>
      </c>
    </row>
    <row r="12" spans="1:13" ht="15.75">
      <c r="A12" s="1">
        <f t="shared" si="1"/>
        <v>10</v>
      </c>
      <c r="B12" s="17" t="s">
        <v>23</v>
      </c>
      <c r="C12" s="10">
        <f>18277+8778.81</f>
        <v>27055.809999999998</v>
      </c>
      <c r="D12" s="26">
        <f>C12+февраль!D12</f>
        <v>81311.350000000006</v>
      </c>
      <c r="E12" s="11">
        <f>16231.56+7036.27</f>
        <v>23267.83</v>
      </c>
      <c r="F12" s="26">
        <f>E12+февраль!F12</f>
        <v>64349.71</v>
      </c>
      <c r="G12" s="26">
        <f t="shared" si="0"/>
        <v>-3787.9799999999959</v>
      </c>
      <c r="H12" s="28">
        <f t="shared" si="0"/>
        <v>-16961.640000000007</v>
      </c>
      <c r="I12" s="11">
        <v>28079.46</v>
      </c>
      <c r="J12" s="28">
        <f>I12+февраль!J12</f>
        <v>384960.3</v>
      </c>
      <c r="K12" s="10"/>
      <c r="L12" s="26">
        <f>K12+февраль!L12</f>
        <v>0</v>
      </c>
    </row>
    <row r="13" spans="1:13" ht="15.75">
      <c r="A13" s="1">
        <f t="shared" si="1"/>
        <v>11</v>
      </c>
      <c r="B13" s="17" t="s">
        <v>24</v>
      </c>
      <c r="C13" s="10">
        <f>18416.26+10895.98</f>
        <v>29312.239999999998</v>
      </c>
      <c r="D13" s="26">
        <f>C13+февраль!D13</f>
        <v>88260.28</v>
      </c>
      <c r="E13" s="11">
        <f>18755.69+10076.18</f>
        <v>28831.87</v>
      </c>
      <c r="F13" s="26">
        <f>E13+февраль!F13</f>
        <v>79573.94</v>
      </c>
      <c r="G13" s="26">
        <f t="shared" si="0"/>
        <v>-480.36999999999898</v>
      </c>
      <c r="H13" s="28">
        <f t="shared" si="0"/>
        <v>-8686.3399999999965</v>
      </c>
      <c r="I13" s="11"/>
      <c r="J13" s="28">
        <f>I13+февраль!J13</f>
        <v>0</v>
      </c>
      <c r="K13" s="10"/>
      <c r="L13" s="26">
        <f>K13+февраль!L13</f>
        <v>0</v>
      </c>
    </row>
    <row r="14" spans="1:13" ht="15.75">
      <c r="A14" s="1">
        <f t="shared" si="1"/>
        <v>12</v>
      </c>
      <c r="B14" s="17" t="s">
        <v>25</v>
      </c>
      <c r="C14" s="10">
        <f>4277.79+2530.92</f>
        <v>6808.71</v>
      </c>
      <c r="D14" s="26">
        <f>C14+февраль!D14</f>
        <v>20501.29</v>
      </c>
      <c r="E14" s="11">
        <f>4363.4+2340.52</f>
        <v>6703.92</v>
      </c>
      <c r="F14" s="26">
        <f>E14+февраль!F14</f>
        <v>18507.14</v>
      </c>
      <c r="G14" s="26">
        <f t="shared" si="0"/>
        <v>-104.78999999999996</v>
      </c>
      <c r="H14" s="28">
        <f t="shared" si="0"/>
        <v>-1994.1500000000015</v>
      </c>
      <c r="I14" s="11"/>
      <c r="J14" s="28">
        <f>I14+февраль!J14</f>
        <v>0</v>
      </c>
      <c r="K14" s="10"/>
      <c r="L14" s="26">
        <f>K14+февраль!L14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C15+февраль!D15</f>
        <v>0</v>
      </c>
      <c r="E15" s="11"/>
      <c r="F15" s="26">
        <f>E15+февраль!F15</f>
        <v>0</v>
      </c>
      <c r="G15" s="26">
        <f t="shared" si="0"/>
        <v>0</v>
      </c>
      <c r="H15" s="28">
        <f t="shared" si="0"/>
        <v>0</v>
      </c>
      <c r="I15" s="11"/>
      <c r="J15" s="28">
        <f>I15+февраль!J15</f>
        <v>0</v>
      </c>
      <c r="K15" s="10"/>
      <c r="L15" s="26">
        <f>K15+февраль!L15</f>
        <v>0</v>
      </c>
    </row>
    <row r="16" spans="1:13" ht="15.75">
      <c r="A16" s="1">
        <f t="shared" si="1"/>
        <v>14</v>
      </c>
      <c r="B16" s="17" t="s">
        <v>27</v>
      </c>
      <c r="C16" s="10">
        <f>1377.58+815.06</f>
        <v>2192.64</v>
      </c>
      <c r="D16" s="26">
        <f>C16+февраль!D16</f>
        <v>6602.1</v>
      </c>
      <c r="E16" s="11">
        <f>1405.18+753.77</f>
        <v>2158.9499999999998</v>
      </c>
      <c r="F16" s="26">
        <f>E16+февраль!F16</f>
        <v>5959.9400000000005</v>
      </c>
      <c r="G16" s="26">
        <f t="shared" si="0"/>
        <v>-33.690000000000055</v>
      </c>
      <c r="H16" s="28">
        <f t="shared" si="0"/>
        <v>-642.15999999999985</v>
      </c>
      <c r="I16" s="11"/>
      <c r="J16" s="28">
        <f>I16+февраль!J16</f>
        <v>0</v>
      </c>
      <c r="K16" s="10"/>
      <c r="L16" s="26">
        <f>K16+февраль!L16</f>
        <v>0</v>
      </c>
    </row>
    <row r="17" spans="1:12" ht="15.75">
      <c r="A17" s="1">
        <f t="shared" si="1"/>
        <v>15</v>
      </c>
      <c r="B17" s="17" t="s">
        <v>28</v>
      </c>
      <c r="C17" s="10">
        <f>9135.55+5405.09</f>
        <v>14540.64</v>
      </c>
      <c r="D17" s="26">
        <f>C17+февраль!D17</f>
        <v>43782.5</v>
      </c>
      <c r="E17" s="11">
        <f>9286.76+4998.26</f>
        <v>14285.02</v>
      </c>
      <c r="F17" s="26">
        <f>E17+февраль!F17</f>
        <v>39413.649999999994</v>
      </c>
      <c r="G17" s="26">
        <f t="shared" si="0"/>
        <v>-255.61999999999898</v>
      </c>
      <c r="H17" s="28">
        <f t="shared" si="0"/>
        <v>-4368.8500000000058</v>
      </c>
      <c r="I17" s="11"/>
      <c r="J17" s="28">
        <f>I17+февраль!J17</f>
        <v>0</v>
      </c>
      <c r="K17" s="10"/>
      <c r="L17" s="26">
        <f>K17+февраль!L17</f>
        <v>0</v>
      </c>
    </row>
    <row r="18" spans="1:12">
      <c r="A18" s="1">
        <f t="shared" si="1"/>
        <v>16</v>
      </c>
      <c r="B18" s="20" t="s">
        <v>36</v>
      </c>
      <c r="C18" s="10">
        <f>2936.44+1737.34</f>
        <v>4673.78</v>
      </c>
      <c r="D18" s="26">
        <f>C18+февраль!D18</f>
        <v>12687.810000000001</v>
      </c>
      <c r="E18" s="11">
        <f>2854.95+2011.76</f>
        <v>4866.71</v>
      </c>
      <c r="F18" s="26">
        <f>E18+февраль!F18</f>
        <v>10131.779999999999</v>
      </c>
      <c r="G18" s="26">
        <f t="shared" si="0"/>
        <v>192.93000000000029</v>
      </c>
      <c r="H18" s="28">
        <f t="shared" si="0"/>
        <v>-2556.0300000000025</v>
      </c>
      <c r="I18" s="11"/>
      <c r="J18" s="28">
        <f>I18+февраль!J18</f>
        <v>0</v>
      </c>
      <c r="K18" s="10"/>
      <c r="L18" s="26">
        <f>K18+февраль!L18</f>
        <v>0</v>
      </c>
    </row>
    <row r="19" spans="1:12">
      <c r="A19" s="1">
        <f t="shared" si="1"/>
        <v>17</v>
      </c>
      <c r="B19" s="8" t="s">
        <v>31</v>
      </c>
      <c r="C19" s="10"/>
      <c r="D19" s="26">
        <f>C19+февраль!D19</f>
        <v>0</v>
      </c>
      <c r="E19" s="11"/>
      <c r="F19" s="26">
        <f>E19+февраль!F19</f>
        <v>0</v>
      </c>
      <c r="G19" s="26">
        <f t="shared" si="0"/>
        <v>0</v>
      </c>
      <c r="H19" s="28">
        <f t="shared" si="0"/>
        <v>0</v>
      </c>
      <c r="I19" s="11"/>
      <c r="J19" s="28">
        <f>I19+февраль!J19</f>
        <v>0</v>
      </c>
      <c r="K19" s="11"/>
      <c r="L19" s="26">
        <f>K19+февраль!L19</f>
        <v>0</v>
      </c>
    </row>
    <row r="20" spans="1:12">
      <c r="A20" s="1">
        <f t="shared" si="1"/>
        <v>18</v>
      </c>
      <c r="B20" s="8" t="s">
        <v>32</v>
      </c>
      <c r="C20" s="10"/>
      <c r="D20" s="26">
        <f>C20+февраль!D20</f>
        <v>0</v>
      </c>
      <c r="E20" s="11"/>
      <c r="F20" s="26">
        <f>E20+февраль!F20</f>
        <v>0</v>
      </c>
      <c r="G20" s="26">
        <f t="shared" si="0"/>
        <v>0</v>
      </c>
      <c r="H20" s="28">
        <f t="shared" si="0"/>
        <v>0</v>
      </c>
      <c r="I20" s="11"/>
      <c r="J20" s="28">
        <f>I20+февраль!J20</f>
        <v>0</v>
      </c>
      <c r="K20" s="10"/>
      <c r="L20" s="26">
        <f>K20+февраль!L20</f>
        <v>0</v>
      </c>
    </row>
    <row r="21" spans="1:12">
      <c r="A21" s="1">
        <f t="shared" si="1"/>
        <v>19</v>
      </c>
      <c r="B21" s="8"/>
      <c r="C21" s="10"/>
      <c r="D21" s="26">
        <f>C21+февраль!D21</f>
        <v>0</v>
      </c>
      <c r="E21" s="11"/>
      <c r="F21" s="26">
        <f>E21+февраль!F21</f>
        <v>0</v>
      </c>
      <c r="G21" s="26">
        <f t="shared" si="0"/>
        <v>0</v>
      </c>
      <c r="H21" s="28">
        <f t="shared" si="0"/>
        <v>0</v>
      </c>
      <c r="I21" s="11"/>
      <c r="J21" s="28">
        <f>I21+февраль!J21</f>
        <v>0</v>
      </c>
      <c r="K21" s="10"/>
      <c r="L21" s="26">
        <f>K21+февраль!L21</f>
        <v>0</v>
      </c>
    </row>
    <row r="22" spans="1:12">
      <c r="A22" s="1">
        <f t="shared" si="1"/>
        <v>20</v>
      </c>
      <c r="B22" s="8"/>
      <c r="C22" s="10"/>
      <c r="D22" s="26"/>
      <c r="E22" s="11"/>
      <c r="F22" s="26"/>
      <c r="G22" s="26">
        <f t="shared" si="0"/>
        <v>0</v>
      </c>
      <c r="H22" s="28">
        <f t="shared" si="0"/>
        <v>0</v>
      </c>
      <c r="I22" s="11"/>
      <c r="J22" s="28">
        <f>I22+февраль!J22</f>
        <v>0</v>
      </c>
      <c r="K22" s="10"/>
      <c r="L22" s="26">
        <f>K22+февраль!L22</f>
        <v>0</v>
      </c>
    </row>
    <row r="23" spans="1:12">
      <c r="A23" s="1"/>
      <c r="B23" s="36" t="s">
        <v>13</v>
      </c>
      <c r="C23" s="34">
        <f t="shared" ref="C23:L23" si="2">SUM(C3:C22)</f>
        <v>504809.5</v>
      </c>
      <c r="D23" s="34">
        <f t="shared" si="2"/>
        <v>1482615.2500000002</v>
      </c>
      <c r="E23" s="35">
        <f t="shared" si="2"/>
        <v>446915.06000000006</v>
      </c>
      <c r="F23" s="34">
        <f t="shared" si="2"/>
        <v>1217259.17</v>
      </c>
      <c r="G23" s="34">
        <f t="shared" si="2"/>
        <v>-57894.439999999995</v>
      </c>
      <c r="H23" s="35">
        <f t="shared" si="2"/>
        <v>-265356.08</v>
      </c>
      <c r="I23" s="35">
        <f t="shared" si="2"/>
        <v>507980.45</v>
      </c>
      <c r="J23" s="35">
        <f t="shared" si="2"/>
        <v>2191998.73</v>
      </c>
      <c r="K23" s="34">
        <f t="shared" si="2"/>
        <v>305512.65000000002</v>
      </c>
      <c r="L23" s="34">
        <f t="shared" si="2"/>
        <v>1150920.28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K13" sqref="K13"/>
    </sheetView>
  </sheetViews>
  <sheetFormatPr defaultRowHeight="12.75"/>
  <cols>
    <col min="1" max="1" width="4.85546875" customWidth="1"/>
    <col min="2" max="2" width="27.140625" customWidth="1"/>
    <col min="3" max="3" width="10.7109375" customWidth="1"/>
    <col min="4" max="4" width="11.28515625" customWidth="1"/>
    <col min="5" max="6" width="11.5703125" customWidth="1"/>
    <col min="7" max="7" width="11.85546875" customWidth="1"/>
    <col min="8" max="8" width="10.7109375" customWidth="1"/>
    <col min="9" max="9" width="10.5703125" customWidth="1"/>
    <col min="10" max="10" width="11.5703125" customWidth="1"/>
    <col min="11" max="11" width="11.42578125" customWidth="1"/>
    <col min="12" max="12" width="11.7109375" customWidth="1"/>
    <col min="13" max="13" width="10.7109375" bestFit="1" customWidth="1"/>
  </cols>
  <sheetData>
    <row r="2" spans="1:13">
      <c r="B2" s="15" t="s">
        <v>30</v>
      </c>
      <c r="D2" t="s">
        <v>40</v>
      </c>
    </row>
    <row r="4" spans="1:13" ht="38.25">
      <c r="A4" s="21" t="s">
        <v>0</v>
      </c>
      <c r="B4" s="22" t="s">
        <v>1</v>
      </c>
      <c r="C4" s="23" t="s">
        <v>2</v>
      </c>
      <c r="D4" s="25" t="s">
        <v>3</v>
      </c>
      <c r="E4" s="24" t="s">
        <v>4</v>
      </c>
      <c r="F4" s="25" t="s">
        <v>5</v>
      </c>
      <c r="G4" s="25" t="s">
        <v>6</v>
      </c>
      <c r="H4" s="27" t="s">
        <v>7</v>
      </c>
      <c r="I4" s="24" t="s">
        <v>8</v>
      </c>
      <c r="J4" s="27" t="s">
        <v>9</v>
      </c>
      <c r="K4" s="22" t="s">
        <v>10</v>
      </c>
      <c r="L4" s="25" t="s">
        <v>11</v>
      </c>
    </row>
    <row r="5" spans="1:13" ht="15.75">
      <c r="A5" s="1">
        <v>1</v>
      </c>
      <c r="B5" s="17" t="s">
        <v>14</v>
      </c>
      <c r="C5" s="10">
        <f>30514.48+18460.83</f>
        <v>48975.31</v>
      </c>
      <c r="D5" s="26">
        <f>C5+март!D3</f>
        <v>195959.91999999998</v>
      </c>
      <c r="E5" s="11">
        <f>24121.56+17762.64</f>
        <v>41884.199999999997</v>
      </c>
      <c r="F5" s="26">
        <f>E5+март!F3</f>
        <v>174198.94</v>
      </c>
      <c r="G5" s="26">
        <f>E5-C5</f>
        <v>-7091.1100000000006</v>
      </c>
      <c r="H5" s="28">
        <f>F5-D5</f>
        <v>-21760.979999999981</v>
      </c>
      <c r="I5" s="11"/>
      <c r="J5" s="28">
        <f>I5+март!J3</f>
        <v>0</v>
      </c>
      <c r="K5" s="10"/>
      <c r="L5" s="26">
        <f>K5+март!L3</f>
        <v>0</v>
      </c>
    </row>
    <row r="6" spans="1:13" ht="15.75">
      <c r="A6" s="1">
        <f>A5+1</f>
        <v>2</v>
      </c>
      <c r="B6" s="17" t="s">
        <v>15</v>
      </c>
      <c r="C6" s="10">
        <f>64383.4+38951.1</f>
        <v>103334.5</v>
      </c>
      <c r="D6" s="26">
        <f>C6+март!D4</f>
        <v>413461.88</v>
      </c>
      <c r="E6" s="11">
        <f>51098.28+37497.81</f>
        <v>88596.09</v>
      </c>
      <c r="F6" s="26">
        <f>E6+март!F4</f>
        <v>368315.5</v>
      </c>
      <c r="G6" s="26">
        <f t="shared" ref="G6:H24" si="0">E6-C6</f>
        <v>-14738.410000000003</v>
      </c>
      <c r="H6" s="28">
        <f t="shared" si="0"/>
        <v>-45146.380000000005</v>
      </c>
      <c r="I6" s="11">
        <v>379358.5</v>
      </c>
      <c r="J6" s="28">
        <f>I6+март!J4</f>
        <v>1708851.35</v>
      </c>
      <c r="K6" s="10">
        <v>266111.21999999997</v>
      </c>
      <c r="L6" s="26">
        <f>K6+март!L4</f>
        <v>1108438.17</v>
      </c>
      <c r="M6" s="37">
        <f>L6-J6</f>
        <v>-600413.18000000017</v>
      </c>
    </row>
    <row r="7" spans="1:13" ht="15.75">
      <c r="A7" s="1">
        <f t="shared" ref="A7:A24" si="1">A6+1</f>
        <v>3</v>
      </c>
      <c r="B7" s="17" t="s">
        <v>17</v>
      </c>
      <c r="C7" s="10">
        <f>72969.12+35048.16</f>
        <v>108017.28</v>
      </c>
      <c r="D7" s="26">
        <f>C7+март!D5</f>
        <v>432643.68000000005</v>
      </c>
      <c r="E7" s="11">
        <f>57356.13+34758.6</f>
        <v>92114.73</v>
      </c>
      <c r="F7" s="26">
        <f>E7+март!F5</f>
        <v>348829.88</v>
      </c>
      <c r="G7" s="26">
        <f t="shared" si="0"/>
        <v>-15902.550000000003</v>
      </c>
      <c r="H7" s="28">
        <f t="shared" si="0"/>
        <v>-83813.800000000047</v>
      </c>
      <c r="I7" s="11"/>
      <c r="J7" s="28">
        <f>I7+март!J5</f>
        <v>0</v>
      </c>
      <c r="K7" s="10"/>
      <c r="L7" s="26">
        <f>K7+март!L5</f>
        <v>0</v>
      </c>
    </row>
    <row r="8" spans="1:13" ht="15.75">
      <c r="A8" s="1">
        <f t="shared" si="1"/>
        <v>4</v>
      </c>
      <c r="B8" s="17" t="s">
        <v>18</v>
      </c>
      <c r="C8" s="10"/>
      <c r="D8" s="26">
        <f>C8+март!D6</f>
        <v>0</v>
      </c>
      <c r="E8" s="11"/>
      <c r="F8" s="26">
        <f>E8+март!F6</f>
        <v>0</v>
      </c>
      <c r="G8" s="26">
        <f t="shared" si="0"/>
        <v>0</v>
      </c>
      <c r="H8" s="28">
        <f t="shared" si="0"/>
        <v>0</v>
      </c>
      <c r="I8" s="11"/>
      <c r="J8" s="28">
        <f>I8+март!J6</f>
        <v>0</v>
      </c>
      <c r="K8" s="10"/>
      <c r="L8" s="26">
        <f>K8+март!L6</f>
        <v>0</v>
      </c>
    </row>
    <row r="9" spans="1:13" ht="15.75">
      <c r="A9" s="1">
        <f t="shared" si="1"/>
        <v>5</v>
      </c>
      <c r="B9" s="18" t="s">
        <v>19</v>
      </c>
      <c r="C9" s="10">
        <f>4652.88+2814.94</f>
        <v>7467.82</v>
      </c>
      <c r="D9" s="26">
        <f>C9+март!D7</f>
        <v>29880.19</v>
      </c>
      <c r="E9" s="11">
        <f>3692.81+2710.9</f>
        <v>6403.71</v>
      </c>
      <c r="F9" s="26">
        <f>E9+март!F7</f>
        <v>26636.129999999997</v>
      </c>
      <c r="G9" s="26">
        <f t="shared" si="0"/>
        <v>-1064.1099999999997</v>
      </c>
      <c r="H9" s="28">
        <f t="shared" si="0"/>
        <v>-3244.0600000000013</v>
      </c>
      <c r="I9" s="11"/>
      <c r="J9" s="28">
        <f>I9+март!J7</f>
        <v>0</v>
      </c>
      <c r="K9" s="10"/>
      <c r="L9" s="26">
        <f>K9+март!L7</f>
        <v>0</v>
      </c>
    </row>
    <row r="10" spans="1:13" ht="15.75">
      <c r="A10" s="1">
        <f t="shared" si="1"/>
        <v>6</v>
      </c>
      <c r="B10" s="17" t="s">
        <v>29</v>
      </c>
      <c r="C10" s="10">
        <f>3642.98+2203.96</f>
        <v>5846.9400000000005</v>
      </c>
      <c r="D10" s="26">
        <f>C10+март!D8</f>
        <v>23394.770000000004</v>
      </c>
      <c r="E10" s="11">
        <f>2880.25+2120.68</f>
        <v>5000.93</v>
      </c>
      <c r="F10" s="26">
        <f>E10+март!F8</f>
        <v>20799.55</v>
      </c>
      <c r="G10" s="26">
        <f t="shared" si="0"/>
        <v>-846.01000000000022</v>
      </c>
      <c r="H10" s="28">
        <f t="shared" si="0"/>
        <v>-2595.2200000000048</v>
      </c>
      <c r="I10" s="11"/>
      <c r="J10" s="28">
        <f>I10+март!J8</f>
        <v>0</v>
      </c>
      <c r="K10" s="10"/>
      <c r="L10" s="26">
        <f>K10+март!L8</f>
        <v>0</v>
      </c>
    </row>
    <row r="11" spans="1:13" ht="15.75">
      <c r="A11" s="1">
        <f t="shared" si="1"/>
        <v>7</v>
      </c>
      <c r="B11" s="17" t="s">
        <v>20</v>
      </c>
      <c r="C11" s="10">
        <f>47636.43+23159.32</f>
        <v>70795.75</v>
      </c>
      <c r="D11" s="26">
        <f>C11+март!D9</f>
        <v>239982.08000000002</v>
      </c>
      <c r="E11" s="11">
        <f>32696.25+20535.01</f>
        <v>53231.259999999995</v>
      </c>
      <c r="F11" s="26">
        <f>E11+март!F9</f>
        <v>166285.45000000001</v>
      </c>
      <c r="G11" s="26">
        <f t="shared" si="0"/>
        <v>-17564.490000000005</v>
      </c>
      <c r="H11" s="28">
        <f t="shared" si="0"/>
        <v>-73696.63</v>
      </c>
      <c r="I11" s="11">
        <v>62484.800000000003</v>
      </c>
      <c r="J11" s="28">
        <f>I11+март!J9</f>
        <v>294862.40000000002</v>
      </c>
      <c r="K11" s="10"/>
      <c r="L11" s="26">
        <f>K11+март!L9</f>
        <v>0</v>
      </c>
    </row>
    <row r="12" spans="1:13" ht="15.75">
      <c r="A12" s="1">
        <f t="shared" si="1"/>
        <v>8</v>
      </c>
      <c r="B12" s="17" t="s">
        <v>21</v>
      </c>
      <c r="C12" s="10">
        <f>26814.37+12879.42</f>
        <v>39693.79</v>
      </c>
      <c r="D12" s="26">
        <f>C12+март!D10</f>
        <v>158986.29</v>
      </c>
      <c r="E12" s="11">
        <f>20838.79+13021.8</f>
        <v>33860.589999999997</v>
      </c>
      <c r="F12" s="26">
        <f>E12+март!F10</f>
        <v>124585.66</v>
      </c>
      <c r="G12" s="26">
        <f t="shared" si="0"/>
        <v>-5833.2000000000044</v>
      </c>
      <c r="H12" s="28">
        <f t="shared" si="0"/>
        <v>-34400.630000000005</v>
      </c>
      <c r="I12" s="11">
        <v>30340.46</v>
      </c>
      <c r="J12" s="28">
        <f>I12+март!J10</f>
        <v>147205.97</v>
      </c>
      <c r="K12" s="10">
        <v>30340.46</v>
      </c>
      <c r="L12" s="26">
        <f>K12+март!L10</f>
        <v>147205.97</v>
      </c>
    </row>
    <row r="13" spans="1:13" ht="15.75">
      <c r="A13" s="1">
        <f t="shared" si="1"/>
        <v>9</v>
      </c>
      <c r="B13" s="17" t="s">
        <v>22</v>
      </c>
      <c r="C13" s="10">
        <v>39693.79</v>
      </c>
      <c r="D13" s="26">
        <f>C13+март!D11</f>
        <v>158986.29</v>
      </c>
      <c r="E13" s="11">
        <f>20842.3+13023.75</f>
        <v>33866.050000000003</v>
      </c>
      <c r="F13" s="26">
        <f>E13+март!F11</f>
        <v>124629.46</v>
      </c>
      <c r="G13" s="26">
        <f t="shared" si="0"/>
        <v>-5827.739999999998</v>
      </c>
      <c r="H13" s="28">
        <f t="shared" si="0"/>
        <v>-34356.83</v>
      </c>
      <c r="I13" s="11">
        <v>31147.77</v>
      </c>
      <c r="J13" s="28">
        <f>I13+март!J11</f>
        <v>159450.24000000002</v>
      </c>
      <c r="K13" s="10"/>
      <c r="L13" s="26">
        <f>K13+март!L11</f>
        <v>191727.82</v>
      </c>
    </row>
    <row r="14" spans="1:13" ht="15.75">
      <c r="A14" s="1">
        <f t="shared" si="1"/>
        <v>10</v>
      </c>
      <c r="B14" s="17" t="s">
        <v>23</v>
      </c>
      <c r="C14" s="10">
        <f>18277+8778.81</f>
        <v>27055.809999999998</v>
      </c>
      <c r="D14" s="26">
        <f>C14+март!D12</f>
        <v>108367.16</v>
      </c>
      <c r="E14" s="11">
        <f>14395.26+8722.77</f>
        <v>23118.03</v>
      </c>
      <c r="F14" s="26">
        <f>E14+март!F12</f>
        <v>87467.739999999991</v>
      </c>
      <c r="G14" s="26">
        <f t="shared" si="0"/>
        <v>-3937.7799999999988</v>
      </c>
      <c r="H14" s="28">
        <f t="shared" si="0"/>
        <v>-20899.420000000013</v>
      </c>
      <c r="I14" s="11">
        <v>27173.67</v>
      </c>
      <c r="J14" s="28">
        <f>I14+март!J12</f>
        <v>412133.97</v>
      </c>
      <c r="K14" s="10"/>
      <c r="L14" s="26">
        <f>K14+март!L12</f>
        <v>0</v>
      </c>
    </row>
    <row r="15" spans="1:13" ht="15.75">
      <c r="A15" s="1">
        <f t="shared" si="1"/>
        <v>11</v>
      </c>
      <c r="B15" s="17" t="s">
        <v>24</v>
      </c>
      <c r="C15" s="10">
        <f>18323.14+11085.21</f>
        <v>29408.35</v>
      </c>
      <c r="D15" s="26">
        <f>C15+март!D13</f>
        <v>117668.63</v>
      </c>
      <c r="E15" s="11">
        <f>14515.92+10671.37</f>
        <v>25187.29</v>
      </c>
      <c r="F15" s="26">
        <f>E15+март!F13</f>
        <v>104761.23000000001</v>
      </c>
      <c r="G15" s="26">
        <f t="shared" si="0"/>
        <v>-4221.0599999999977</v>
      </c>
      <c r="H15" s="28">
        <f t="shared" si="0"/>
        <v>-12907.399999999994</v>
      </c>
      <c r="I15" s="11"/>
      <c r="J15" s="28">
        <f>I15+март!J13</f>
        <v>0</v>
      </c>
      <c r="K15" s="10"/>
      <c r="L15" s="26">
        <f>K15+март!L13</f>
        <v>0</v>
      </c>
    </row>
    <row r="16" spans="1:13" ht="15.75">
      <c r="A16" s="1">
        <f t="shared" si="1"/>
        <v>12</v>
      </c>
      <c r="B16" s="17" t="s">
        <v>25</v>
      </c>
      <c r="C16" s="10">
        <f>4256.17+2574.87</f>
        <v>6831.04</v>
      </c>
      <c r="D16" s="26">
        <f>C16+март!D14</f>
        <v>27332.33</v>
      </c>
      <c r="E16" s="11">
        <f>3377.93+2479.7</f>
        <v>5857.6299999999992</v>
      </c>
      <c r="F16" s="26">
        <f>E16+март!F14</f>
        <v>24364.769999999997</v>
      </c>
      <c r="G16" s="26">
        <f t="shared" si="0"/>
        <v>-973.41000000000076</v>
      </c>
      <c r="H16" s="28">
        <f t="shared" si="0"/>
        <v>-2967.5600000000049</v>
      </c>
      <c r="I16" s="11"/>
      <c r="J16" s="28">
        <f>I16+март!J14</f>
        <v>0</v>
      </c>
      <c r="K16" s="10"/>
      <c r="L16" s="26">
        <f>K16+март!L14</f>
        <v>0</v>
      </c>
    </row>
    <row r="17" spans="1:12" ht="15.75">
      <c r="A17" s="1">
        <f t="shared" si="1"/>
        <v>13</v>
      </c>
      <c r="B17" s="17" t="s">
        <v>26</v>
      </c>
      <c r="C17" s="10"/>
      <c r="D17" s="26">
        <f>C17+март!D15</f>
        <v>0</v>
      </c>
      <c r="E17" s="11"/>
      <c r="F17" s="26">
        <f>E17+март!F15</f>
        <v>0</v>
      </c>
      <c r="G17" s="26">
        <f t="shared" si="0"/>
        <v>0</v>
      </c>
      <c r="H17" s="28">
        <f t="shared" si="0"/>
        <v>0</v>
      </c>
      <c r="I17" s="11"/>
      <c r="J17" s="28">
        <f>I17+март!J15</f>
        <v>0</v>
      </c>
      <c r="K17" s="10"/>
      <c r="L17" s="26">
        <f>K17+март!L15</f>
        <v>0</v>
      </c>
    </row>
    <row r="18" spans="1:12" ht="15.75">
      <c r="A18" s="1">
        <f t="shared" si="1"/>
        <v>14</v>
      </c>
      <c r="B18" s="17" t="s">
        <v>27</v>
      </c>
      <c r="C18" s="10">
        <f>1370.62+829.21</f>
        <v>2199.83</v>
      </c>
      <c r="D18" s="26">
        <f>C18+март!D16</f>
        <v>8801.93</v>
      </c>
      <c r="E18" s="11">
        <f>1087.82+798.58</f>
        <v>1886.4</v>
      </c>
      <c r="F18" s="26">
        <f>E18+март!F16</f>
        <v>7846.34</v>
      </c>
      <c r="G18" s="26">
        <f t="shared" si="0"/>
        <v>-313.42999999999984</v>
      </c>
      <c r="H18" s="28">
        <f t="shared" si="0"/>
        <v>-955.59000000000015</v>
      </c>
      <c r="I18" s="11"/>
      <c r="J18" s="28">
        <f>I18+март!J16</f>
        <v>0</v>
      </c>
      <c r="K18" s="10"/>
      <c r="L18" s="26">
        <f>K18+март!L16</f>
        <v>0</v>
      </c>
    </row>
    <row r="19" spans="1:12" ht="15.75">
      <c r="A19" s="1">
        <f t="shared" si="1"/>
        <v>15</v>
      </c>
      <c r="B19" s="17" t="s">
        <v>28</v>
      </c>
      <c r="C19" s="10">
        <f>9089.36+5498.96</f>
        <v>14588.32</v>
      </c>
      <c r="D19" s="26">
        <f>C19+март!D17</f>
        <v>58370.82</v>
      </c>
      <c r="E19" s="11">
        <f>7185.34+5291.1</f>
        <v>12476.44</v>
      </c>
      <c r="F19" s="26">
        <f>E19+март!F17</f>
        <v>51890.09</v>
      </c>
      <c r="G19" s="26">
        <f t="shared" si="0"/>
        <v>-2111.8799999999992</v>
      </c>
      <c r="H19" s="28">
        <f t="shared" si="0"/>
        <v>-6480.7300000000032</v>
      </c>
      <c r="I19" s="11"/>
      <c r="J19" s="28">
        <f>I19+март!J17</f>
        <v>0</v>
      </c>
      <c r="K19" s="10"/>
      <c r="L19" s="26">
        <f>K19+март!L17</f>
        <v>0</v>
      </c>
    </row>
    <row r="20" spans="1:12">
      <c r="A20" s="1">
        <f t="shared" si="1"/>
        <v>16</v>
      </c>
      <c r="B20" s="20" t="s">
        <v>36</v>
      </c>
      <c r="C20" s="10">
        <f>2921.6+1767.51</f>
        <v>4689.1099999999997</v>
      </c>
      <c r="D20" s="26">
        <f>C20+март!D18</f>
        <v>17376.920000000002</v>
      </c>
      <c r="E20" s="11">
        <f>2141.08+1533.69</f>
        <v>3674.77</v>
      </c>
      <c r="F20" s="26">
        <f>E20+март!F18</f>
        <v>13806.55</v>
      </c>
      <c r="G20" s="26">
        <f t="shared" si="0"/>
        <v>-1014.3399999999997</v>
      </c>
      <c r="H20" s="28">
        <f t="shared" si="0"/>
        <v>-3570.3700000000026</v>
      </c>
      <c r="I20" s="11"/>
      <c r="J20" s="28">
        <f>I20+март!J18</f>
        <v>0</v>
      </c>
      <c r="K20" s="10"/>
      <c r="L20" s="26">
        <f>K20+март!L18</f>
        <v>0</v>
      </c>
    </row>
    <row r="21" spans="1:12">
      <c r="A21" s="1">
        <f t="shared" si="1"/>
        <v>17</v>
      </c>
      <c r="B21" s="8" t="s">
        <v>31</v>
      </c>
      <c r="C21" s="10"/>
      <c r="D21" s="26">
        <f>C21+март!D19</f>
        <v>0</v>
      </c>
      <c r="E21" s="11"/>
      <c r="F21" s="26">
        <f>E21+март!F19</f>
        <v>0</v>
      </c>
      <c r="G21" s="26">
        <f t="shared" si="0"/>
        <v>0</v>
      </c>
      <c r="H21" s="28">
        <f t="shared" si="0"/>
        <v>0</v>
      </c>
      <c r="I21" s="11"/>
      <c r="J21" s="28">
        <f>I21+март!J19</f>
        <v>0</v>
      </c>
      <c r="K21" s="11"/>
      <c r="L21" s="26">
        <f>K21+март!L19</f>
        <v>0</v>
      </c>
    </row>
    <row r="22" spans="1:12">
      <c r="A22" s="1">
        <f t="shared" si="1"/>
        <v>18</v>
      </c>
      <c r="B22" s="8" t="s">
        <v>32</v>
      </c>
      <c r="C22" s="10"/>
      <c r="D22" s="26">
        <f>C22+март!D20</f>
        <v>0</v>
      </c>
      <c r="E22" s="11"/>
      <c r="F22" s="26">
        <f>E22+март!F20</f>
        <v>0</v>
      </c>
      <c r="G22" s="26">
        <f t="shared" si="0"/>
        <v>0</v>
      </c>
      <c r="H22" s="28">
        <f t="shared" si="0"/>
        <v>0</v>
      </c>
      <c r="I22" s="11"/>
      <c r="J22" s="28">
        <f>I22+март!J20</f>
        <v>0</v>
      </c>
      <c r="K22" s="10"/>
      <c r="L22" s="26">
        <f>K22+март!L20</f>
        <v>0</v>
      </c>
    </row>
    <row r="23" spans="1:12">
      <c r="A23" s="1">
        <f t="shared" si="1"/>
        <v>19</v>
      </c>
      <c r="B23" s="8"/>
      <c r="C23" s="10"/>
      <c r="D23" s="26">
        <f>C23+март!D21</f>
        <v>0</v>
      </c>
      <c r="E23" s="11"/>
      <c r="F23" s="26">
        <f>E23+март!F21</f>
        <v>0</v>
      </c>
      <c r="G23" s="26">
        <f t="shared" si="0"/>
        <v>0</v>
      </c>
      <c r="H23" s="28">
        <f t="shared" si="0"/>
        <v>0</v>
      </c>
      <c r="I23" s="11"/>
      <c r="J23" s="28">
        <f>I23+март!J21</f>
        <v>0</v>
      </c>
      <c r="K23" s="10"/>
      <c r="L23" s="26">
        <f>K23+март!L21</f>
        <v>0</v>
      </c>
    </row>
    <row r="24" spans="1:12">
      <c r="A24" s="1">
        <f t="shared" si="1"/>
        <v>20</v>
      </c>
      <c r="B24" s="8"/>
      <c r="C24" s="10"/>
      <c r="D24" s="26">
        <f>C24+март!D22</f>
        <v>0</v>
      </c>
      <c r="E24" s="11"/>
      <c r="F24" s="26">
        <f>E24+март!F22</f>
        <v>0</v>
      </c>
      <c r="G24" s="26">
        <f t="shared" si="0"/>
        <v>0</v>
      </c>
      <c r="H24" s="28">
        <f t="shared" si="0"/>
        <v>0</v>
      </c>
      <c r="I24" s="11"/>
      <c r="J24" s="28">
        <f>I24+март!J22</f>
        <v>0</v>
      </c>
      <c r="K24" s="10"/>
      <c r="L24" s="26">
        <f>K24+март!L22</f>
        <v>0</v>
      </c>
    </row>
    <row r="25" spans="1:12">
      <c r="A25" s="1"/>
      <c r="B25" s="29" t="s">
        <v>13</v>
      </c>
      <c r="C25" s="26">
        <f t="shared" ref="C25:L25" si="2">SUM(C5:C24)</f>
        <v>508597.6399999999</v>
      </c>
      <c r="D25" s="26">
        <f t="shared" si="2"/>
        <v>1991212.8900000001</v>
      </c>
      <c r="E25" s="28">
        <f t="shared" si="2"/>
        <v>427158.12</v>
      </c>
      <c r="F25" s="26">
        <f t="shared" si="2"/>
        <v>1644417.29</v>
      </c>
      <c r="G25" s="26">
        <f t="shared" si="2"/>
        <v>-81439.520000000019</v>
      </c>
      <c r="H25" s="28">
        <f t="shared" si="2"/>
        <v>-346795.60000000009</v>
      </c>
      <c r="I25" s="28">
        <f t="shared" si="2"/>
        <v>530505.20000000007</v>
      </c>
      <c r="J25" s="28">
        <f t="shared" si="2"/>
        <v>2722503.9300000006</v>
      </c>
      <c r="K25" s="26">
        <f t="shared" si="2"/>
        <v>296451.68</v>
      </c>
      <c r="L25" s="26">
        <f t="shared" si="2"/>
        <v>1447371.96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K11" sqref="K11"/>
    </sheetView>
  </sheetViews>
  <sheetFormatPr defaultRowHeight="12.75"/>
  <cols>
    <col min="1" max="1" width="4" customWidth="1"/>
    <col min="2" max="2" width="23.140625" customWidth="1"/>
    <col min="3" max="3" width="11" customWidth="1"/>
    <col min="4" max="4" width="12" customWidth="1"/>
    <col min="5" max="5" width="10.7109375" customWidth="1"/>
    <col min="6" max="6" width="11.7109375" customWidth="1"/>
    <col min="7" max="7" width="12.28515625" customWidth="1"/>
    <col min="8" max="8" width="12.42578125" customWidth="1"/>
    <col min="9" max="9" width="11" customWidth="1"/>
    <col min="10" max="10" width="11.42578125" customWidth="1"/>
    <col min="11" max="11" width="10.5703125" customWidth="1"/>
    <col min="12" max="12" width="11.28515625" customWidth="1"/>
    <col min="13" max="13" width="10.7109375" bestFit="1" customWidth="1"/>
  </cols>
  <sheetData>
    <row r="1" spans="1:13">
      <c r="E1" s="15"/>
      <c r="F1" s="16" t="s">
        <v>30</v>
      </c>
      <c r="G1" s="16"/>
      <c r="I1" t="s">
        <v>41</v>
      </c>
    </row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20405.27+28570.04</f>
        <v>48975.31</v>
      </c>
      <c r="D3" s="26">
        <f>C3+апрель!D5</f>
        <v>244935.22999999998</v>
      </c>
      <c r="E3" s="11">
        <f>16924.84+27749.28</f>
        <v>44674.119999999995</v>
      </c>
      <c r="F3" s="26">
        <f>E3+апрель!F5</f>
        <v>218873.06</v>
      </c>
      <c r="G3" s="26">
        <f>E3-C3</f>
        <v>-4301.1900000000023</v>
      </c>
      <c r="H3" s="28">
        <f>F3-D3</f>
        <v>-26062.169999999984</v>
      </c>
      <c r="I3" s="11"/>
      <c r="J3" s="28">
        <f>I3+апрель!J5</f>
        <v>0</v>
      </c>
      <c r="K3" s="10"/>
      <c r="L3" s="26">
        <f>K3+апрель!L5</f>
        <v>0</v>
      </c>
    </row>
    <row r="4" spans="1:13" ht="15.75">
      <c r="A4" s="1">
        <f>A3+1</f>
        <v>2</v>
      </c>
      <c r="B4" s="17" t="s">
        <v>15</v>
      </c>
      <c r="C4" s="10">
        <f>43053.76+60280.74</f>
        <v>103334.5</v>
      </c>
      <c r="D4" s="26">
        <f>C4+апрель!D6</f>
        <v>516796.38</v>
      </c>
      <c r="E4" s="11">
        <f>35710.25+58587.33</f>
        <v>94297.58</v>
      </c>
      <c r="F4" s="26">
        <f>E4+апрель!F6</f>
        <v>462613.08</v>
      </c>
      <c r="G4" s="26">
        <f t="shared" ref="G4:H22" si="0">E4-C4</f>
        <v>-9036.9199999999983</v>
      </c>
      <c r="H4" s="28">
        <f t="shared" si="0"/>
        <v>-54183.299999999988</v>
      </c>
      <c r="I4" s="11">
        <v>181174.03</v>
      </c>
      <c r="J4" s="28">
        <f>I4+апрель!J6</f>
        <v>1890025.3800000001</v>
      </c>
      <c r="K4" s="10">
        <v>242412.88</v>
      </c>
      <c r="L4" s="26">
        <f>K4+апрель!L6</f>
        <v>1350851.0499999998</v>
      </c>
      <c r="M4" s="37">
        <f>L4-J4</f>
        <v>-539174.33000000031</v>
      </c>
    </row>
    <row r="5" spans="1:13" ht="15.75">
      <c r="A5" s="1">
        <f t="shared" ref="A5:A22" si="1">A4+1</f>
        <v>3</v>
      </c>
      <c r="B5" s="17" t="s">
        <v>17</v>
      </c>
      <c r="C5" s="10">
        <f>38782.8+68659.92</f>
        <v>107442.72</v>
      </c>
      <c r="D5" s="26">
        <f>C5+апрель!D7</f>
        <v>540086.4</v>
      </c>
      <c r="E5" s="11">
        <f>33643.02+59603.63</f>
        <v>93246.65</v>
      </c>
      <c r="F5" s="26">
        <f>E5+апрель!F7</f>
        <v>442076.53</v>
      </c>
      <c r="G5" s="26">
        <f t="shared" si="0"/>
        <v>-14196.070000000007</v>
      </c>
      <c r="H5" s="28">
        <f t="shared" si="0"/>
        <v>-98009.87</v>
      </c>
      <c r="I5" s="11"/>
      <c r="J5" s="28">
        <f>I5+апрель!J7</f>
        <v>0</v>
      </c>
      <c r="K5" s="10"/>
      <c r="L5" s="26">
        <f>K5+апрель!L7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C6+апрель!D8</f>
        <v>0</v>
      </c>
      <c r="E6" s="11"/>
      <c r="F6" s="26">
        <f>E6+апрель!F8</f>
        <v>0</v>
      </c>
      <c r="G6" s="26">
        <f t="shared" si="0"/>
        <v>0</v>
      </c>
      <c r="H6" s="28">
        <f t="shared" si="0"/>
        <v>0</v>
      </c>
      <c r="I6" s="11"/>
      <c r="J6" s="28">
        <f>I6+апрель!J8</f>
        <v>0</v>
      </c>
      <c r="K6" s="10"/>
      <c r="L6" s="26">
        <f>K6+апрель!L8</f>
        <v>0</v>
      </c>
    </row>
    <row r="7" spans="1:13" ht="15.75">
      <c r="A7" s="1">
        <f t="shared" si="1"/>
        <v>5</v>
      </c>
      <c r="B7" s="18" t="s">
        <v>19</v>
      </c>
      <c r="C7" s="10">
        <f>3111.42+4356.4</f>
        <v>7467.82</v>
      </c>
      <c r="D7" s="26">
        <f>C7+апрель!D9</f>
        <v>37348.009999999995</v>
      </c>
      <c r="E7" s="11">
        <f>2580.71+4236.08</f>
        <v>6816.79</v>
      </c>
      <c r="F7" s="26">
        <f>E7+апрель!F9</f>
        <v>33452.92</v>
      </c>
      <c r="G7" s="26">
        <f t="shared" si="0"/>
        <v>-651.02999999999975</v>
      </c>
      <c r="H7" s="28">
        <f t="shared" si="0"/>
        <v>-3895.0899999999965</v>
      </c>
      <c r="I7" s="11"/>
      <c r="J7" s="28">
        <f>I7+апрель!J9</f>
        <v>0</v>
      </c>
      <c r="K7" s="10"/>
      <c r="L7" s="26">
        <f>K7+апрель!L9</f>
        <v>0</v>
      </c>
    </row>
    <row r="8" spans="1:13" ht="15.75">
      <c r="A8" s="1">
        <f t="shared" si="1"/>
        <v>6</v>
      </c>
      <c r="B8" s="17" t="s">
        <v>29</v>
      </c>
      <c r="C8" s="10">
        <f>2436.1+3410.84</f>
        <v>5846.9400000000005</v>
      </c>
      <c r="D8" s="26">
        <f>C8+апрель!D10</f>
        <v>29241.710000000006</v>
      </c>
      <c r="E8" s="11">
        <f>2020.59+3313.03</f>
        <v>5333.62</v>
      </c>
      <c r="F8" s="26">
        <f>E8+апрель!F10</f>
        <v>26133.17</v>
      </c>
      <c r="G8" s="26">
        <f t="shared" si="0"/>
        <v>-513.32000000000062</v>
      </c>
      <c r="H8" s="28">
        <f t="shared" si="0"/>
        <v>-3108.5400000000081</v>
      </c>
      <c r="I8" s="11"/>
      <c r="J8" s="28">
        <f>I8+апрель!J10</f>
        <v>0</v>
      </c>
      <c r="K8" s="10"/>
      <c r="L8" s="26">
        <f>K8+апрель!L10</f>
        <v>0</v>
      </c>
    </row>
    <row r="9" spans="1:13" ht="15.75">
      <c r="A9" s="1">
        <f t="shared" si="1"/>
        <v>7</v>
      </c>
      <c r="B9" s="17" t="s">
        <v>20</v>
      </c>
      <c r="C9" s="10">
        <f>36421.52+64479.43</f>
        <v>100900.95</v>
      </c>
      <c r="D9" s="26">
        <f>C9+апрель!D11</f>
        <v>340883.03</v>
      </c>
      <c r="E9" s="11">
        <f>22078.7+38612.91</f>
        <v>60691.61</v>
      </c>
      <c r="F9" s="26">
        <f>E9+апрель!F11</f>
        <v>226977.06</v>
      </c>
      <c r="G9" s="26">
        <f t="shared" si="0"/>
        <v>-40209.339999999997</v>
      </c>
      <c r="H9" s="28">
        <f t="shared" si="0"/>
        <v>-113905.97000000003</v>
      </c>
      <c r="I9" s="11">
        <v>43433.599999999999</v>
      </c>
      <c r="J9" s="28">
        <f>I9+апрель!J11</f>
        <v>338296</v>
      </c>
      <c r="K9" s="10"/>
      <c r="L9" s="26">
        <f>K9+апрель!L11</f>
        <v>0</v>
      </c>
    </row>
    <row r="10" spans="1:13" ht="15.75">
      <c r="A10" s="1">
        <f t="shared" si="1"/>
        <v>8</v>
      </c>
      <c r="B10" s="17" t="s">
        <v>21</v>
      </c>
      <c r="C10" s="10">
        <f>14251.82+25230.85</f>
        <v>39482.67</v>
      </c>
      <c r="D10" s="26">
        <f>C10+апрель!D12</f>
        <v>198468.96000000002</v>
      </c>
      <c r="E10" s="11">
        <f>11973.76+23413.85</f>
        <v>35387.61</v>
      </c>
      <c r="F10" s="26">
        <f>E10+апрель!F12</f>
        <v>159973.27000000002</v>
      </c>
      <c r="G10" s="26">
        <f t="shared" si="0"/>
        <v>-4095.0599999999977</v>
      </c>
      <c r="H10" s="28">
        <f t="shared" si="0"/>
        <v>-38495.69</v>
      </c>
      <c r="I10" s="11">
        <v>27325.07</v>
      </c>
      <c r="J10" s="28">
        <f>I10+апрель!J12</f>
        <v>174531.04</v>
      </c>
      <c r="K10" s="10">
        <v>27325.07</v>
      </c>
      <c r="L10" s="26">
        <f>K10+апрель!L12</f>
        <v>174531.04</v>
      </c>
    </row>
    <row r="11" spans="1:13" ht="15.75">
      <c r="A11" s="1">
        <f t="shared" si="1"/>
        <v>9</v>
      </c>
      <c r="B11" s="17" t="s">
        <v>22</v>
      </c>
      <c r="C11" s="10">
        <f>14251.82+25230.85</f>
        <v>39482.67</v>
      </c>
      <c r="D11" s="26">
        <f>C11+апрель!D13</f>
        <v>198468.96000000002</v>
      </c>
      <c r="E11" s="11">
        <f>11974.02+23416.66</f>
        <v>35390.68</v>
      </c>
      <c r="F11" s="26">
        <f>E11+апрель!F13</f>
        <v>160020.14000000001</v>
      </c>
      <c r="G11" s="26">
        <f t="shared" si="0"/>
        <v>-4091.989999999998</v>
      </c>
      <c r="H11" s="28">
        <f t="shared" si="0"/>
        <v>-38448.820000000007</v>
      </c>
      <c r="I11" s="11">
        <v>28159.31</v>
      </c>
      <c r="J11" s="28">
        <f>I11+апрель!J13</f>
        <v>187609.55000000002</v>
      </c>
      <c r="K11" s="10"/>
      <c r="L11" s="26">
        <f>K11+апрель!L13</f>
        <v>191727.82</v>
      </c>
    </row>
    <row r="12" spans="1:13" ht="15.75">
      <c r="A12" s="1">
        <f t="shared" si="1"/>
        <v>10</v>
      </c>
      <c r="B12" s="17" t="s">
        <v>23</v>
      </c>
      <c r="C12" s="10">
        <f>9714.25+17197.64</f>
        <v>26911.89</v>
      </c>
      <c r="D12" s="26">
        <f>C12+апрель!D14</f>
        <v>135279.04999999999</v>
      </c>
      <c r="E12" s="11">
        <f>8690.53+15340.1</f>
        <v>24030.63</v>
      </c>
      <c r="F12" s="26">
        <f>E12+апрель!F14</f>
        <v>111498.37</v>
      </c>
      <c r="G12" s="26">
        <f t="shared" si="0"/>
        <v>-2881.2599999999984</v>
      </c>
      <c r="H12" s="28">
        <f t="shared" si="0"/>
        <v>-23780.679999999993</v>
      </c>
      <c r="I12" s="11">
        <v>28079.46</v>
      </c>
      <c r="J12" s="28">
        <f>I12+апрель!J14</f>
        <v>440213.43</v>
      </c>
      <c r="K12" s="10"/>
      <c r="L12" s="26">
        <f>K12+апрель!L14</f>
        <v>0</v>
      </c>
    </row>
    <row r="13" spans="1:13" ht="15.75">
      <c r="A13" s="1">
        <f t="shared" si="1"/>
        <v>11</v>
      </c>
      <c r="B13" s="17" t="s">
        <v>24</v>
      </c>
      <c r="C13" s="10">
        <f>12252.81+17155.54</f>
        <v>29408.35</v>
      </c>
      <c r="D13" s="26">
        <f>C13+апрель!D15</f>
        <v>147076.98000000001</v>
      </c>
      <c r="E13" s="11">
        <f>10162.9+16673.18</f>
        <v>26836.080000000002</v>
      </c>
      <c r="F13" s="26">
        <f>E13+апрель!F15</f>
        <v>131597.31</v>
      </c>
      <c r="G13" s="26">
        <f t="shared" si="0"/>
        <v>-2572.2699999999968</v>
      </c>
      <c r="H13" s="28">
        <f t="shared" si="0"/>
        <v>-15479.670000000013</v>
      </c>
      <c r="I13" s="11"/>
      <c r="J13" s="28">
        <f>I13+апрель!J15</f>
        <v>0</v>
      </c>
      <c r="K13" s="10"/>
      <c r="L13" s="26">
        <f>K13+апрель!L15</f>
        <v>0</v>
      </c>
    </row>
    <row r="14" spans="1:13" ht="15.75">
      <c r="A14" s="1">
        <f t="shared" si="1"/>
        <v>12</v>
      </c>
      <c r="B14" s="17" t="s">
        <v>25</v>
      </c>
      <c r="C14" s="10">
        <f>2846.08+3984.96</f>
        <v>6831.04</v>
      </c>
      <c r="D14" s="26">
        <f>C14+апрель!D16</f>
        <v>34163.370000000003</v>
      </c>
      <c r="E14" s="11">
        <f>2360.61+3874.86</f>
        <v>6235.47</v>
      </c>
      <c r="F14" s="26">
        <f>E14+апрель!F16</f>
        <v>30600.239999999998</v>
      </c>
      <c r="G14" s="26">
        <f t="shared" si="0"/>
        <v>-595.56999999999971</v>
      </c>
      <c r="H14" s="28">
        <f t="shared" si="0"/>
        <v>-3563.1300000000047</v>
      </c>
      <c r="I14" s="11"/>
      <c r="J14" s="28">
        <f>I14+апрель!J16</f>
        <v>0</v>
      </c>
      <c r="K14" s="10"/>
      <c r="L14" s="26">
        <f>K14+апрель!L16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C15+апрель!D17</f>
        <v>0</v>
      </c>
      <c r="E15" s="11"/>
      <c r="F15" s="26">
        <f>E15+апрель!F17</f>
        <v>0</v>
      </c>
      <c r="G15" s="26">
        <f t="shared" si="0"/>
        <v>0</v>
      </c>
      <c r="H15" s="28">
        <f t="shared" si="0"/>
        <v>0</v>
      </c>
      <c r="I15" s="11"/>
      <c r="J15" s="28">
        <f>I15+апрель!J17</f>
        <v>0</v>
      </c>
      <c r="K15" s="10"/>
      <c r="L15" s="26">
        <f>K15+апрель!L17</f>
        <v>0</v>
      </c>
    </row>
    <row r="16" spans="1:13" ht="15.75">
      <c r="A16" s="1">
        <f t="shared" si="1"/>
        <v>14</v>
      </c>
      <c r="B16" s="17" t="s">
        <v>27</v>
      </c>
      <c r="C16" s="10">
        <f>916.55+1283.28</f>
        <v>2199.83</v>
      </c>
      <c r="D16" s="26">
        <f>C16+апрель!D18</f>
        <v>11001.76</v>
      </c>
      <c r="E16" s="11">
        <f>760.22+1247.87</f>
        <v>2008.09</v>
      </c>
      <c r="F16" s="26">
        <f>E16+апрель!F18</f>
        <v>9854.43</v>
      </c>
      <c r="G16" s="26">
        <f t="shared" si="0"/>
        <v>-191.74</v>
      </c>
      <c r="H16" s="28">
        <f t="shared" si="0"/>
        <v>-1147.33</v>
      </c>
      <c r="I16" s="11"/>
      <c r="J16" s="28">
        <f>I16+апрель!J18</f>
        <v>0</v>
      </c>
      <c r="K16" s="10"/>
      <c r="L16" s="26">
        <f>K16+апрель!L18</f>
        <v>0</v>
      </c>
    </row>
    <row r="17" spans="1:12" ht="15.75">
      <c r="A17" s="1">
        <f t="shared" si="1"/>
        <v>15</v>
      </c>
      <c r="B17" s="17" t="s">
        <v>28</v>
      </c>
      <c r="C17" s="10">
        <f>6078.15+8510.17</f>
        <v>14588.32</v>
      </c>
      <c r="D17" s="26">
        <f>C17+апрель!D19</f>
        <v>72959.14</v>
      </c>
      <c r="E17" s="11">
        <f>5041.39+8265.8</f>
        <v>13307.189999999999</v>
      </c>
      <c r="F17" s="26">
        <f>E17+апрель!F19</f>
        <v>65197.279999999999</v>
      </c>
      <c r="G17" s="26">
        <f t="shared" si="0"/>
        <v>-1281.130000000001</v>
      </c>
      <c r="H17" s="28">
        <f t="shared" si="0"/>
        <v>-7761.8600000000006</v>
      </c>
      <c r="I17" s="11"/>
      <c r="J17" s="28">
        <f>I17+апрель!J19</f>
        <v>0</v>
      </c>
      <c r="K17" s="10"/>
      <c r="L17" s="26">
        <f>K17+апрель!L19</f>
        <v>0</v>
      </c>
    </row>
    <row r="18" spans="1:12">
      <c r="A18" s="1">
        <f t="shared" si="1"/>
        <v>16</v>
      </c>
      <c r="B18" s="20" t="s">
        <v>36</v>
      </c>
      <c r="C18" s="10">
        <f>1953.67+2735.44</f>
        <v>4689.1100000000006</v>
      </c>
      <c r="D18" s="26">
        <f>C18+апрель!D20</f>
        <v>22066.030000000002</v>
      </c>
      <c r="E18" s="11">
        <f>1648.64+2601.35</f>
        <v>4249.99</v>
      </c>
      <c r="F18" s="26">
        <f>E18+апрель!F20</f>
        <v>18056.54</v>
      </c>
      <c r="G18" s="26">
        <f t="shared" si="0"/>
        <v>-439.1200000000008</v>
      </c>
      <c r="H18" s="28">
        <f t="shared" si="0"/>
        <v>-4009.4900000000016</v>
      </c>
      <c r="I18" s="11"/>
      <c r="J18" s="28">
        <f>I18+апрель!J20</f>
        <v>0</v>
      </c>
      <c r="K18" s="10"/>
      <c r="L18" s="26">
        <f>K18+апрель!L20</f>
        <v>0</v>
      </c>
    </row>
    <row r="19" spans="1:12">
      <c r="A19" s="1">
        <f t="shared" si="1"/>
        <v>17</v>
      </c>
      <c r="B19" s="8" t="s">
        <v>31</v>
      </c>
      <c r="C19" s="10"/>
      <c r="D19" s="26">
        <f>C19+апрель!D21</f>
        <v>0</v>
      </c>
      <c r="E19" s="11"/>
      <c r="F19" s="26">
        <f>E19+апрель!F21</f>
        <v>0</v>
      </c>
      <c r="G19" s="26">
        <f t="shared" si="0"/>
        <v>0</v>
      </c>
      <c r="H19" s="28">
        <f t="shared" si="0"/>
        <v>0</v>
      </c>
      <c r="I19" s="11"/>
      <c r="J19" s="28">
        <f>I19+апрель!J21</f>
        <v>0</v>
      </c>
      <c r="K19" s="11"/>
      <c r="L19" s="26">
        <f>K19+апрель!L21</f>
        <v>0</v>
      </c>
    </row>
    <row r="20" spans="1:12">
      <c r="A20" s="1">
        <f t="shared" si="1"/>
        <v>18</v>
      </c>
      <c r="B20" s="8" t="s">
        <v>32</v>
      </c>
      <c r="C20" s="10"/>
      <c r="D20" s="26">
        <f>C20+апрель!D22</f>
        <v>0</v>
      </c>
      <c r="E20" s="11"/>
      <c r="F20" s="26">
        <f>E20+апрель!F22</f>
        <v>0</v>
      </c>
      <c r="G20" s="26">
        <f t="shared" si="0"/>
        <v>0</v>
      </c>
      <c r="H20" s="28">
        <f t="shared" si="0"/>
        <v>0</v>
      </c>
      <c r="I20" s="11"/>
      <c r="J20" s="28">
        <f>I20+апрель!J22</f>
        <v>0</v>
      </c>
      <c r="K20" s="11"/>
      <c r="L20" s="26">
        <f>K20+апрель!L22</f>
        <v>0</v>
      </c>
    </row>
    <row r="21" spans="1:12">
      <c r="A21" s="1">
        <f t="shared" si="1"/>
        <v>19</v>
      </c>
      <c r="B21" s="8"/>
      <c r="C21" s="10"/>
      <c r="D21" s="26">
        <f>C21+апрель!D23</f>
        <v>0</v>
      </c>
      <c r="E21" s="11"/>
      <c r="F21" s="26">
        <f>E21+апрель!F23</f>
        <v>0</v>
      </c>
      <c r="G21" s="26">
        <f t="shared" si="0"/>
        <v>0</v>
      </c>
      <c r="H21" s="28">
        <f t="shared" si="0"/>
        <v>0</v>
      </c>
      <c r="I21" s="11"/>
      <c r="J21" s="28">
        <f>I21+апрель!J23</f>
        <v>0</v>
      </c>
      <c r="K21" s="10"/>
      <c r="L21" s="26">
        <f>K21+апрель!L23</f>
        <v>0</v>
      </c>
    </row>
    <row r="22" spans="1:12">
      <c r="A22" s="1">
        <f t="shared" si="1"/>
        <v>20</v>
      </c>
      <c r="B22" s="8"/>
      <c r="C22" s="10"/>
      <c r="D22" s="26">
        <f>C22+апрель!D24</f>
        <v>0</v>
      </c>
      <c r="E22" s="11"/>
      <c r="F22" s="26">
        <f>E22+апрель!F24</f>
        <v>0</v>
      </c>
      <c r="G22" s="26">
        <f t="shared" si="0"/>
        <v>0</v>
      </c>
      <c r="H22" s="28">
        <f t="shared" si="0"/>
        <v>0</v>
      </c>
      <c r="I22" s="11"/>
      <c r="J22" s="28">
        <f>I22+апрель!J24</f>
        <v>0</v>
      </c>
      <c r="K22" s="10"/>
      <c r="L22" s="26">
        <f>K22+апрель!L24</f>
        <v>0</v>
      </c>
    </row>
    <row r="23" spans="1:12">
      <c r="A23" s="31"/>
      <c r="B23" s="29" t="s">
        <v>13</v>
      </c>
      <c r="C23" s="26">
        <f t="shared" ref="C23:L23" si="2">SUM(C3:C22)</f>
        <v>537562.11999999988</v>
      </c>
      <c r="D23" s="26">
        <f t="shared" si="2"/>
        <v>2528775.0099999998</v>
      </c>
      <c r="E23" s="28">
        <f t="shared" si="2"/>
        <v>452506.11</v>
      </c>
      <c r="F23" s="26">
        <f t="shared" si="2"/>
        <v>2096923.4000000001</v>
      </c>
      <c r="G23" s="26">
        <f t="shared" si="2"/>
        <v>-85056.01</v>
      </c>
      <c r="H23" s="28">
        <f t="shared" si="2"/>
        <v>-431851.61000000004</v>
      </c>
      <c r="I23" s="28">
        <f t="shared" si="2"/>
        <v>308171.47000000003</v>
      </c>
      <c r="J23" s="28">
        <f t="shared" si="2"/>
        <v>3030675.4</v>
      </c>
      <c r="K23" s="26">
        <f t="shared" si="2"/>
        <v>269737.95</v>
      </c>
      <c r="L23" s="26">
        <f t="shared" si="2"/>
        <v>1717109.91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K11" sqref="K11"/>
    </sheetView>
  </sheetViews>
  <sheetFormatPr defaultRowHeight="12.75"/>
  <cols>
    <col min="1" max="1" width="4.140625" style="12" customWidth="1"/>
    <col min="2" max="2" width="22.85546875" customWidth="1"/>
    <col min="3" max="3" width="10.85546875" customWidth="1"/>
    <col min="4" max="4" width="11.7109375" customWidth="1"/>
    <col min="5" max="5" width="11.28515625" customWidth="1"/>
    <col min="6" max="6" width="12" customWidth="1"/>
    <col min="7" max="7" width="11.140625" customWidth="1"/>
    <col min="8" max="8" width="11.42578125" customWidth="1"/>
    <col min="9" max="9" width="10.140625" bestFit="1" customWidth="1"/>
    <col min="10" max="10" width="11" customWidth="1"/>
    <col min="11" max="11" width="10.140625" customWidth="1"/>
    <col min="12" max="12" width="12.140625" customWidth="1"/>
    <col min="13" max="13" width="10.7109375" bestFit="1" customWidth="1"/>
  </cols>
  <sheetData>
    <row r="1" spans="1:13">
      <c r="F1" s="15"/>
      <c r="G1" s="16" t="s">
        <v>30</v>
      </c>
      <c r="H1" s="16"/>
      <c r="J1" t="s">
        <v>42</v>
      </c>
    </row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21056.44+27239.19</f>
        <v>48295.63</v>
      </c>
      <c r="D3" s="26">
        <f>C3+май!D3</f>
        <v>293230.86</v>
      </c>
      <c r="E3" s="11">
        <f>15969.94+23875.16</f>
        <v>39845.1</v>
      </c>
      <c r="F3" s="26">
        <f>E3+май!F3</f>
        <v>258718.16</v>
      </c>
      <c r="G3" s="26">
        <f>E3-C3</f>
        <v>-8450.5299999999988</v>
      </c>
      <c r="H3" s="28">
        <f>F3-D3</f>
        <v>-34512.699999999983</v>
      </c>
      <c r="I3" s="11"/>
      <c r="J3" s="28">
        <f>I3+май!J3</f>
        <v>0</v>
      </c>
      <c r="K3" s="10"/>
      <c r="L3" s="26">
        <f>K3+май!L3</f>
        <v>0</v>
      </c>
    </row>
    <row r="4" spans="1:13" ht="15.75">
      <c r="A4" s="1">
        <f>A3+1</f>
        <v>2</v>
      </c>
      <c r="B4" s="17" t="s">
        <v>15</v>
      </c>
      <c r="C4" s="10">
        <f>44427.68+57472.75</f>
        <v>101900.43</v>
      </c>
      <c r="D4" s="26">
        <f>C4+май!D4</f>
        <v>618696.81000000006</v>
      </c>
      <c r="E4" s="11">
        <f>33695.05+49522.4</f>
        <v>83217.450000000012</v>
      </c>
      <c r="F4" s="26">
        <f>E4+май!F4</f>
        <v>545830.53</v>
      </c>
      <c r="G4" s="26">
        <f t="shared" ref="G4:H22" si="0">E4-C4</f>
        <v>-18682.979999999981</v>
      </c>
      <c r="H4" s="28">
        <f t="shared" si="0"/>
        <v>-72866.280000000028</v>
      </c>
      <c r="I4" s="11">
        <v>87089.47</v>
      </c>
      <c r="J4" s="28">
        <f>I4+май!J4</f>
        <v>1977114.85</v>
      </c>
      <c r="K4" s="10">
        <v>190153.55</v>
      </c>
      <c r="L4" s="26">
        <f>K4+май!L4</f>
        <v>1541004.5999999999</v>
      </c>
      <c r="M4" s="37">
        <f>L4-J4</f>
        <v>-436110.25000000023</v>
      </c>
    </row>
    <row r="5" spans="1:13" ht="15.75">
      <c r="A5" s="1">
        <f t="shared" ref="A5:A22" si="1">A4+1</f>
        <v>3</v>
      </c>
      <c r="B5" s="17" t="s">
        <v>17</v>
      </c>
      <c r="C5" s="10">
        <f>41655.6+65787.12</f>
        <v>107442.72</v>
      </c>
      <c r="D5" s="26">
        <f>C5+май!D5</f>
        <v>647529.12</v>
      </c>
      <c r="E5" s="11">
        <f>29357.49+55636.71</f>
        <v>84994.2</v>
      </c>
      <c r="F5" s="26">
        <f>E5+май!F5</f>
        <v>527070.73</v>
      </c>
      <c r="G5" s="26">
        <f t="shared" si="0"/>
        <v>-22448.520000000004</v>
      </c>
      <c r="H5" s="28">
        <f t="shared" si="0"/>
        <v>-120458.39000000001</v>
      </c>
      <c r="I5" s="11"/>
      <c r="J5" s="28">
        <f>I5+май!J5</f>
        <v>0</v>
      </c>
      <c r="K5" s="10"/>
      <c r="L5" s="26">
        <f>K5+май!L5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C6+май!D6</f>
        <v>0</v>
      </c>
      <c r="E6" s="11"/>
      <c r="F6" s="26">
        <f>E6+май!F6</f>
        <v>0</v>
      </c>
      <c r="G6" s="26">
        <f t="shared" si="0"/>
        <v>0</v>
      </c>
      <c r="H6" s="28">
        <f t="shared" si="0"/>
        <v>0</v>
      </c>
      <c r="I6" s="11"/>
      <c r="J6" s="28">
        <f>I6+май!J6</f>
        <v>0</v>
      </c>
      <c r="K6" s="10"/>
      <c r="L6" s="26">
        <f>K6+май!L6</f>
        <v>0</v>
      </c>
    </row>
    <row r="7" spans="1:13" ht="15.75">
      <c r="A7" s="1">
        <f t="shared" si="1"/>
        <v>5</v>
      </c>
      <c r="B7" s="18" t="s">
        <v>19</v>
      </c>
      <c r="C7" s="10">
        <f>3210.71+4153.47</f>
        <v>7364.18</v>
      </c>
      <c r="D7" s="26">
        <f>C7+май!D7</f>
        <v>44712.189999999995</v>
      </c>
      <c r="E7" s="11">
        <f>2435.63+3640.58</f>
        <v>6076.21</v>
      </c>
      <c r="F7" s="26">
        <f>E7+май!F7</f>
        <v>39529.129999999997</v>
      </c>
      <c r="G7" s="26">
        <f t="shared" si="0"/>
        <v>-1287.9700000000003</v>
      </c>
      <c r="H7" s="28">
        <f t="shared" si="0"/>
        <v>-5183.0599999999977</v>
      </c>
      <c r="I7" s="11"/>
      <c r="J7" s="28">
        <f>I7+май!J7</f>
        <v>0</v>
      </c>
      <c r="K7" s="10"/>
      <c r="L7" s="26">
        <f>K7+май!L7</f>
        <v>0</v>
      </c>
    </row>
    <row r="8" spans="1:13" ht="15.75">
      <c r="A8" s="1">
        <f t="shared" si="1"/>
        <v>6</v>
      </c>
      <c r="B8" s="17" t="s">
        <v>29</v>
      </c>
      <c r="C8" s="10">
        <f>2513.84+3251.96</f>
        <v>5765.8</v>
      </c>
      <c r="D8" s="26">
        <f>C8+май!D8</f>
        <v>35007.510000000009</v>
      </c>
      <c r="E8" s="11">
        <f>1906.6+2802.01</f>
        <v>4708.6100000000006</v>
      </c>
      <c r="F8" s="26">
        <f>E8+май!F8</f>
        <v>30841.78</v>
      </c>
      <c r="G8" s="26">
        <f t="shared" si="0"/>
        <v>-1057.1899999999996</v>
      </c>
      <c r="H8" s="28">
        <f t="shared" si="0"/>
        <v>-4165.7300000000105</v>
      </c>
      <c r="I8" s="11"/>
      <c r="J8" s="28">
        <f>I8+май!J8</f>
        <v>0</v>
      </c>
      <c r="K8" s="10"/>
      <c r="L8" s="26">
        <f>K8+май!L8</f>
        <v>0</v>
      </c>
    </row>
    <row r="9" spans="1:13" ht="15.75">
      <c r="A9" s="1">
        <f t="shared" si="1"/>
        <v>7</v>
      </c>
      <c r="B9" s="17" t="s">
        <v>20</v>
      </c>
      <c r="C9" s="10">
        <f>37255.16+23426.91</f>
        <v>60682.070000000007</v>
      </c>
      <c r="D9" s="26">
        <f>C9+май!D9</f>
        <v>401565.10000000003</v>
      </c>
      <c r="E9" s="11">
        <f>40306.95+24050.26</f>
        <v>64357.209999999992</v>
      </c>
      <c r="F9" s="26">
        <f>E9+май!F9</f>
        <v>291334.27</v>
      </c>
      <c r="G9" s="26">
        <f t="shared" si="0"/>
        <v>3675.1399999999849</v>
      </c>
      <c r="H9" s="28">
        <f t="shared" si="0"/>
        <v>-110230.83000000002</v>
      </c>
      <c r="I9" s="11">
        <v>39984</v>
      </c>
      <c r="J9" s="28">
        <f>I9+май!J9</f>
        <v>378280</v>
      </c>
      <c r="K9" s="10"/>
      <c r="L9" s="26">
        <f>K9+май!L9</f>
        <v>0</v>
      </c>
    </row>
    <row r="10" spans="1:13" ht="15.75">
      <c r="A10" s="1">
        <f t="shared" si="1"/>
        <v>8</v>
      </c>
      <c r="B10" s="17" t="s">
        <v>21</v>
      </c>
      <c r="C10" s="10">
        <f>15307.5+24175.16</f>
        <v>39482.660000000003</v>
      </c>
      <c r="D10" s="26">
        <f>C10+май!D10</f>
        <v>237951.62000000002</v>
      </c>
      <c r="E10" s="11">
        <f>10303.95+18297.05</f>
        <v>28601</v>
      </c>
      <c r="F10" s="26">
        <f>E10+май!F10</f>
        <v>188574.27000000002</v>
      </c>
      <c r="G10" s="26">
        <f t="shared" si="0"/>
        <v>-10881.660000000003</v>
      </c>
      <c r="H10" s="28">
        <f t="shared" si="0"/>
        <v>-49377.350000000006</v>
      </c>
      <c r="I10" s="11">
        <v>26916.93</v>
      </c>
      <c r="J10" s="28">
        <f>I10+май!J10</f>
        <v>201447.97</v>
      </c>
      <c r="K10" s="10">
        <v>26916.93</v>
      </c>
      <c r="L10" s="26">
        <f>K10+май!L10</f>
        <v>201447.97</v>
      </c>
    </row>
    <row r="11" spans="1:13" ht="15.75">
      <c r="A11" s="1">
        <f t="shared" si="1"/>
        <v>9</v>
      </c>
      <c r="B11" s="17" t="s">
        <v>22</v>
      </c>
      <c r="C11" s="10">
        <f>15307.5+24175.16</f>
        <v>39482.660000000003</v>
      </c>
      <c r="D11" s="26">
        <f>C11+май!D11</f>
        <v>237951.62000000002</v>
      </c>
      <c r="E11" s="11">
        <f>10304.37+18297.82</f>
        <v>28602.190000000002</v>
      </c>
      <c r="F11" s="26">
        <f>E11+май!F11</f>
        <v>188622.33000000002</v>
      </c>
      <c r="G11" s="26">
        <f t="shared" si="0"/>
        <v>-10880.470000000001</v>
      </c>
      <c r="H11" s="28">
        <f t="shared" si="0"/>
        <v>-49329.290000000008</v>
      </c>
      <c r="I11" s="11">
        <v>27724.240000000002</v>
      </c>
      <c r="J11" s="28">
        <f>I11+май!J11</f>
        <v>215333.79</v>
      </c>
      <c r="K11" s="10"/>
      <c r="L11" s="26">
        <f>K11+май!L11</f>
        <v>191727.82</v>
      </c>
    </row>
    <row r="12" spans="1:13" ht="15.75">
      <c r="A12" s="1">
        <f t="shared" si="1"/>
        <v>10</v>
      </c>
      <c r="B12" s="17" t="s">
        <v>23</v>
      </c>
      <c r="C12" s="10">
        <f>10433.8+16478.08</f>
        <v>26911.88</v>
      </c>
      <c r="D12" s="26">
        <f>C12+май!D12</f>
        <v>162190.93</v>
      </c>
      <c r="E12" s="11">
        <f>7362.2+14031.16</f>
        <v>21393.360000000001</v>
      </c>
      <c r="F12" s="26">
        <f>E12+май!F12</f>
        <v>132891.72999999998</v>
      </c>
      <c r="G12" s="26">
        <f t="shared" si="0"/>
        <v>-5518.52</v>
      </c>
      <c r="H12" s="28">
        <f t="shared" si="0"/>
        <v>-29299.200000000012</v>
      </c>
      <c r="I12" s="11">
        <v>27173.67</v>
      </c>
      <c r="J12" s="28">
        <f>I12+май!J12</f>
        <v>467387.1</v>
      </c>
      <c r="K12" s="10"/>
      <c r="L12" s="26">
        <f>K12+май!L12</f>
        <v>0</v>
      </c>
    </row>
    <row r="13" spans="1:13" ht="15.75">
      <c r="A13" s="1">
        <f t="shared" si="1"/>
        <v>11</v>
      </c>
      <c r="B13" s="17" t="s">
        <v>24</v>
      </c>
      <c r="C13" s="10">
        <f>12643.81+16356.41</f>
        <v>29000.22</v>
      </c>
      <c r="D13" s="26">
        <f>C13+май!D13</f>
        <v>176077.2</v>
      </c>
      <c r="E13" s="11">
        <f>9590.63+14336.55</f>
        <v>23927.18</v>
      </c>
      <c r="F13" s="26">
        <f>E13+май!F13</f>
        <v>155524.49</v>
      </c>
      <c r="G13" s="26">
        <f t="shared" si="0"/>
        <v>-5073.0400000000009</v>
      </c>
      <c r="H13" s="28">
        <f t="shared" si="0"/>
        <v>-20552.710000000021</v>
      </c>
      <c r="I13" s="11"/>
      <c r="J13" s="28">
        <f>I13+май!J13</f>
        <v>0</v>
      </c>
      <c r="K13" s="10"/>
      <c r="L13" s="26">
        <f>K13+май!L13</f>
        <v>0</v>
      </c>
    </row>
    <row r="14" spans="1:13" ht="15.75">
      <c r="A14" s="1">
        <f t="shared" si="1"/>
        <v>12</v>
      </c>
      <c r="B14" s="17" t="s">
        <v>25</v>
      </c>
      <c r="C14" s="10">
        <f>2936.9+3799.34</f>
        <v>6736.24</v>
      </c>
      <c r="D14" s="26">
        <f>C14+май!D14</f>
        <v>40899.61</v>
      </c>
      <c r="E14" s="11">
        <f>2227.94+3330.15</f>
        <v>5558.09</v>
      </c>
      <c r="F14" s="26">
        <f>E14+май!F14</f>
        <v>36158.33</v>
      </c>
      <c r="G14" s="26">
        <f t="shared" si="0"/>
        <v>-1178.1499999999996</v>
      </c>
      <c r="H14" s="28">
        <f t="shared" si="0"/>
        <v>-4741.2799999999988</v>
      </c>
      <c r="I14" s="11"/>
      <c r="J14" s="28">
        <f>I14+май!J14</f>
        <v>0</v>
      </c>
      <c r="K14" s="10"/>
      <c r="L14" s="26">
        <f>K14+май!L14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C15+май!D15</f>
        <v>0</v>
      </c>
      <c r="E15" s="11"/>
      <c r="F15" s="26">
        <f>E15+май!F15</f>
        <v>0</v>
      </c>
      <c r="G15" s="26">
        <f t="shared" si="0"/>
        <v>0</v>
      </c>
      <c r="H15" s="28">
        <f t="shared" si="0"/>
        <v>0</v>
      </c>
      <c r="I15" s="11"/>
      <c r="J15" s="28">
        <f>I15+май!J15</f>
        <v>0</v>
      </c>
      <c r="K15" s="10"/>
      <c r="L15" s="26">
        <f>K15+май!L15</f>
        <v>0</v>
      </c>
    </row>
    <row r="16" spans="1:13" ht="15.75">
      <c r="A16" s="1">
        <f t="shared" si="1"/>
        <v>14</v>
      </c>
      <c r="B16" s="17" t="s">
        <v>27</v>
      </c>
      <c r="C16" s="10">
        <f>945.8+1223.5</f>
        <v>2169.3000000000002</v>
      </c>
      <c r="D16" s="26">
        <f>C16+май!D16</f>
        <v>13171.060000000001</v>
      </c>
      <c r="E16" s="11">
        <f>717.47+1054.28</f>
        <v>1771.75</v>
      </c>
      <c r="F16" s="26">
        <f>E16+май!F16</f>
        <v>11626.18</v>
      </c>
      <c r="G16" s="26">
        <f t="shared" si="0"/>
        <v>-397.55000000000018</v>
      </c>
      <c r="H16" s="28">
        <f t="shared" si="0"/>
        <v>-1544.880000000001</v>
      </c>
      <c r="I16" s="11"/>
      <c r="J16" s="28">
        <f>I16+май!J16</f>
        <v>0</v>
      </c>
      <c r="K16" s="10"/>
      <c r="L16" s="26">
        <f>K16+май!L16</f>
        <v>0</v>
      </c>
    </row>
    <row r="17" spans="1:12" ht="15.75">
      <c r="A17" s="1">
        <f t="shared" si="1"/>
        <v>15</v>
      </c>
      <c r="B17" s="17" t="s">
        <v>28</v>
      </c>
      <c r="C17" s="10">
        <f>6272.11+8113.75</f>
        <v>14385.86</v>
      </c>
      <c r="D17" s="26">
        <f>C17+май!D17</f>
        <v>87345</v>
      </c>
      <c r="E17" s="11">
        <f>4757+6991.2</f>
        <v>11748.2</v>
      </c>
      <c r="F17" s="26">
        <f>E17+май!F17</f>
        <v>76945.48</v>
      </c>
      <c r="G17" s="26">
        <f t="shared" si="0"/>
        <v>-2637.66</v>
      </c>
      <c r="H17" s="28">
        <f t="shared" si="0"/>
        <v>-10399.520000000004</v>
      </c>
      <c r="I17" s="11"/>
      <c r="J17" s="28">
        <f>I17+май!J17</f>
        <v>0</v>
      </c>
      <c r="K17" s="10"/>
      <c r="L17" s="26">
        <f>K17+май!L17</f>
        <v>0</v>
      </c>
    </row>
    <row r="18" spans="1:12">
      <c r="A18" s="1">
        <f t="shared" si="1"/>
        <v>16</v>
      </c>
      <c r="B18" s="20" t="s">
        <v>36</v>
      </c>
      <c r="C18" s="10">
        <f>2016.01+2608.02</f>
        <v>4624.03</v>
      </c>
      <c r="D18" s="26">
        <f>C18+май!D18</f>
        <v>26690.06</v>
      </c>
      <c r="E18" s="11">
        <f>1576.39+2285.3</f>
        <v>3861.6900000000005</v>
      </c>
      <c r="F18" s="26">
        <f>E18+май!F18</f>
        <v>21918.230000000003</v>
      </c>
      <c r="G18" s="26">
        <f t="shared" si="0"/>
        <v>-762.33999999999924</v>
      </c>
      <c r="H18" s="28">
        <f t="shared" si="0"/>
        <v>-4771.8299999999981</v>
      </c>
      <c r="I18" s="11"/>
      <c r="J18" s="28">
        <f>I18+май!J18</f>
        <v>0</v>
      </c>
      <c r="K18" s="10"/>
      <c r="L18" s="26">
        <f>K18+май!L18</f>
        <v>0</v>
      </c>
    </row>
    <row r="19" spans="1:12">
      <c r="A19" s="1">
        <f t="shared" si="1"/>
        <v>17</v>
      </c>
      <c r="B19" s="8" t="s">
        <v>31</v>
      </c>
      <c r="C19" s="10"/>
      <c r="D19" s="26">
        <f>C19+май!D19</f>
        <v>0</v>
      </c>
      <c r="E19" s="11"/>
      <c r="F19" s="26">
        <f>E19+май!F19</f>
        <v>0</v>
      </c>
      <c r="G19" s="26">
        <f t="shared" si="0"/>
        <v>0</v>
      </c>
      <c r="H19" s="28">
        <f t="shared" si="0"/>
        <v>0</v>
      </c>
      <c r="I19" s="11"/>
      <c r="J19" s="28">
        <f>I19+май!J19</f>
        <v>0</v>
      </c>
      <c r="K19" s="11"/>
      <c r="L19" s="26">
        <f>K19+май!L19</f>
        <v>0</v>
      </c>
    </row>
    <row r="20" spans="1:12">
      <c r="A20" s="1">
        <f t="shared" si="1"/>
        <v>18</v>
      </c>
      <c r="B20" s="8" t="s">
        <v>32</v>
      </c>
      <c r="C20" s="10"/>
      <c r="D20" s="26">
        <f>C20+май!D20</f>
        <v>0</v>
      </c>
      <c r="E20" s="11"/>
      <c r="F20" s="26">
        <f>E20+май!F20</f>
        <v>0</v>
      </c>
      <c r="G20" s="26">
        <f t="shared" si="0"/>
        <v>0</v>
      </c>
      <c r="H20" s="28">
        <f t="shared" si="0"/>
        <v>0</v>
      </c>
      <c r="I20" s="11"/>
      <c r="J20" s="28">
        <f>I20+май!J20</f>
        <v>0</v>
      </c>
      <c r="K20" s="11"/>
      <c r="L20" s="26">
        <f>K20+май!L20</f>
        <v>0</v>
      </c>
    </row>
    <row r="21" spans="1:12">
      <c r="A21" s="1">
        <f t="shared" si="1"/>
        <v>19</v>
      </c>
      <c r="B21" s="8"/>
      <c r="C21" s="10"/>
      <c r="D21" s="26">
        <f>C21+май!D21</f>
        <v>0</v>
      </c>
      <c r="E21" s="11"/>
      <c r="F21" s="26">
        <f>E21+май!F21</f>
        <v>0</v>
      </c>
      <c r="G21" s="26">
        <f t="shared" si="0"/>
        <v>0</v>
      </c>
      <c r="H21" s="28">
        <f t="shared" si="0"/>
        <v>0</v>
      </c>
      <c r="I21" s="11"/>
      <c r="J21" s="28">
        <f>I21+май!J21</f>
        <v>0</v>
      </c>
      <c r="K21" s="10"/>
      <c r="L21" s="26">
        <f>K21+май!L21</f>
        <v>0</v>
      </c>
    </row>
    <row r="22" spans="1:12">
      <c r="A22" s="1">
        <f t="shared" si="1"/>
        <v>20</v>
      </c>
      <c r="B22" s="8"/>
      <c r="C22" s="10"/>
      <c r="D22" s="26">
        <f>C22+май!D22</f>
        <v>0</v>
      </c>
      <c r="E22" s="11"/>
      <c r="F22" s="26">
        <f>E22+май!F22</f>
        <v>0</v>
      </c>
      <c r="G22" s="26">
        <f t="shared" si="0"/>
        <v>0</v>
      </c>
      <c r="H22" s="28">
        <f t="shared" si="0"/>
        <v>0</v>
      </c>
      <c r="I22" s="11"/>
      <c r="J22" s="28">
        <f>I22+май!J22</f>
        <v>0</v>
      </c>
      <c r="K22" s="10"/>
      <c r="L22" s="26">
        <f>K22+май!L22</f>
        <v>0</v>
      </c>
    </row>
    <row r="23" spans="1:12">
      <c r="A23" s="31"/>
      <c r="B23" s="29" t="s">
        <v>13</v>
      </c>
      <c r="C23" s="26">
        <f t="shared" ref="C23:L23" si="2">SUM(C3:C22)</f>
        <v>494243.68</v>
      </c>
      <c r="D23" s="26">
        <f t="shared" si="2"/>
        <v>3023018.6900000004</v>
      </c>
      <c r="E23" s="28">
        <f t="shared" si="2"/>
        <v>408662.24000000005</v>
      </c>
      <c r="F23" s="26">
        <f t="shared" si="2"/>
        <v>2505585.64</v>
      </c>
      <c r="G23" s="26">
        <f t="shared" si="2"/>
        <v>-85581.440000000017</v>
      </c>
      <c r="H23" s="28">
        <f t="shared" si="2"/>
        <v>-517433.05000000022</v>
      </c>
      <c r="I23" s="28">
        <f t="shared" si="2"/>
        <v>208888.31</v>
      </c>
      <c r="J23" s="28">
        <f t="shared" si="2"/>
        <v>3239563.7100000004</v>
      </c>
      <c r="K23" s="26">
        <f t="shared" si="2"/>
        <v>217070.47999999998</v>
      </c>
      <c r="L23" s="26">
        <f t="shared" si="2"/>
        <v>1934180.39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I13" sqref="I13"/>
    </sheetView>
  </sheetViews>
  <sheetFormatPr defaultRowHeight="12.75"/>
  <cols>
    <col min="1" max="1" width="3.5703125" customWidth="1"/>
    <col min="2" max="2" width="20.140625" customWidth="1"/>
    <col min="3" max="3" width="10.85546875" customWidth="1"/>
    <col min="4" max="4" width="11.42578125" customWidth="1"/>
    <col min="5" max="5" width="11" customWidth="1"/>
    <col min="6" max="6" width="11.7109375" customWidth="1"/>
    <col min="7" max="7" width="11" customWidth="1"/>
    <col min="8" max="8" width="12.28515625" customWidth="1"/>
    <col min="9" max="10" width="11.28515625" customWidth="1"/>
    <col min="11" max="11" width="10.140625" bestFit="1" customWidth="1"/>
    <col min="12" max="12" width="11.28515625" customWidth="1"/>
    <col min="13" max="13" width="10.7109375" bestFit="1" customWidth="1"/>
  </cols>
  <sheetData>
    <row r="1" spans="1:13">
      <c r="E1" s="15" t="s">
        <v>44</v>
      </c>
    </row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26733.96+21056.44</f>
        <v>47790.399999999994</v>
      </c>
      <c r="D3" s="26">
        <f>C3+июнь!D3</f>
        <v>341021.26</v>
      </c>
      <c r="E3" s="11">
        <f>27619.61+21103.72</f>
        <v>48723.33</v>
      </c>
      <c r="F3" s="26">
        <f>E3+июнь!F3</f>
        <v>307441.49</v>
      </c>
      <c r="G3" s="26">
        <f>E3-C3</f>
        <v>932.93000000000757</v>
      </c>
      <c r="H3" s="28">
        <f>F3-D3</f>
        <v>-33579.770000000019</v>
      </c>
      <c r="I3" s="11"/>
      <c r="J3" s="28">
        <f>I3+июнь!J3</f>
        <v>0</v>
      </c>
      <c r="K3" s="10"/>
      <c r="L3" s="26">
        <f>K3+июнь!L3</f>
        <v>0</v>
      </c>
    </row>
    <row r="4" spans="1:13" ht="15.75">
      <c r="A4" s="1">
        <f>A3+1</f>
        <v>2</v>
      </c>
      <c r="B4" s="17" t="s">
        <v>15</v>
      </c>
      <c r="C4" s="10">
        <f>59791.13+47093.21</f>
        <v>106884.34</v>
      </c>
      <c r="D4" s="26">
        <f>C4+июнь!D4</f>
        <v>725581.15</v>
      </c>
      <c r="E4" s="11">
        <f>60690.21+46779.55</f>
        <v>107469.76000000001</v>
      </c>
      <c r="F4" s="26">
        <f>E4+июнь!F4</f>
        <v>653300.29</v>
      </c>
      <c r="G4" s="26">
        <f t="shared" ref="G4:H22" si="0">E4-C4</f>
        <v>585.42000000001281</v>
      </c>
      <c r="H4" s="28">
        <f t="shared" si="0"/>
        <v>-72280.859999999986</v>
      </c>
      <c r="I4" s="11">
        <v>56055.12</v>
      </c>
      <c r="J4" s="28">
        <f>I4+июнь!J4</f>
        <v>2033169.9700000002</v>
      </c>
      <c r="K4" s="10">
        <v>189792.68</v>
      </c>
      <c r="L4" s="26">
        <f>K4+июнь!L4</f>
        <v>1730797.2799999998</v>
      </c>
      <c r="M4" s="37">
        <f>L4-J4</f>
        <v>-302372.69000000041</v>
      </c>
    </row>
    <row r="5" spans="1:13" ht="15.75">
      <c r="A5" s="1">
        <f t="shared" ref="A5:A22" si="1">A4+1</f>
        <v>3</v>
      </c>
      <c r="B5" s="17" t="s">
        <v>17</v>
      </c>
      <c r="C5" s="10">
        <f>68211.74+44764.04</f>
        <v>112975.78</v>
      </c>
      <c r="D5" s="26">
        <f>C5+июнь!D5</f>
        <v>760504.9</v>
      </c>
      <c r="E5" s="11">
        <f>70186.85+40968.61</f>
        <v>111155.46</v>
      </c>
      <c r="F5" s="26">
        <f>E5+июнь!F5</f>
        <v>638226.18999999994</v>
      </c>
      <c r="G5" s="26">
        <f t="shared" si="0"/>
        <v>-1820.3199999999924</v>
      </c>
      <c r="H5" s="28">
        <f t="shared" si="0"/>
        <v>-122278.71000000008</v>
      </c>
      <c r="I5" s="11"/>
      <c r="J5" s="28">
        <f>I5+июнь!J5</f>
        <v>0</v>
      </c>
      <c r="K5" s="10"/>
      <c r="L5" s="26">
        <f>K5+июнь!L5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C6+июнь!D6</f>
        <v>0</v>
      </c>
      <c r="E6" s="11"/>
      <c r="F6" s="26">
        <f>E6+июнь!F6</f>
        <v>0</v>
      </c>
      <c r="G6" s="26">
        <f t="shared" si="0"/>
        <v>0</v>
      </c>
      <c r="H6" s="28">
        <f t="shared" si="0"/>
        <v>0</v>
      </c>
      <c r="I6" s="11"/>
      <c r="J6" s="28">
        <f>I6+июнь!J6</f>
        <v>0</v>
      </c>
      <c r="K6" s="10"/>
      <c r="L6" s="26">
        <f>K6+июнь!L6</f>
        <v>0</v>
      </c>
    </row>
    <row r="7" spans="1:13" ht="15.75">
      <c r="A7" s="1">
        <f t="shared" si="1"/>
        <v>5</v>
      </c>
      <c r="B7" s="18" t="s">
        <v>19</v>
      </c>
      <c r="C7" s="10">
        <f>4076.43+3210.7</f>
        <v>7287.1299999999992</v>
      </c>
      <c r="D7" s="26">
        <f>C7+июнь!D7</f>
        <v>51999.319999999992</v>
      </c>
      <c r="E7" s="11">
        <f>4216.77+3221.7</f>
        <v>7438.47</v>
      </c>
      <c r="F7" s="26">
        <f>E7+июнь!F7</f>
        <v>46967.6</v>
      </c>
      <c r="G7" s="26">
        <f t="shared" si="0"/>
        <v>151.34000000000106</v>
      </c>
      <c r="H7" s="28">
        <f t="shared" si="0"/>
        <v>-5031.7199999999939</v>
      </c>
      <c r="I7" s="11"/>
      <c r="J7" s="28">
        <f>I7+июнь!J7</f>
        <v>0</v>
      </c>
      <c r="K7" s="10"/>
      <c r="L7" s="26">
        <f>K7+июнь!L7</f>
        <v>0</v>
      </c>
    </row>
    <row r="8" spans="1:13" ht="15.75">
      <c r="A8" s="1">
        <f t="shared" si="1"/>
        <v>6</v>
      </c>
      <c r="B8" s="17" t="s">
        <v>29</v>
      </c>
      <c r="C8" s="10">
        <f>3191.64+2513.84</f>
        <v>5705.48</v>
      </c>
      <c r="D8" s="26">
        <f>C8+июнь!D8</f>
        <v>40712.990000000005</v>
      </c>
      <c r="E8" s="11">
        <f>3297.55+2519.7</f>
        <v>5817.25</v>
      </c>
      <c r="F8" s="26">
        <f>E8+июнь!F8</f>
        <v>36659.03</v>
      </c>
      <c r="G8" s="26">
        <f t="shared" si="0"/>
        <v>111.77000000000044</v>
      </c>
      <c r="H8" s="28">
        <f t="shared" si="0"/>
        <v>-4053.9600000000064</v>
      </c>
      <c r="I8" s="11"/>
      <c r="J8" s="28">
        <f>I8+июнь!J8</f>
        <v>0</v>
      </c>
      <c r="K8" s="10"/>
      <c r="L8" s="26">
        <f>K8+июнь!L8</f>
        <v>0</v>
      </c>
    </row>
    <row r="9" spans="1:13" ht="15.75">
      <c r="A9" s="1">
        <f t="shared" si="1"/>
        <v>7</v>
      </c>
      <c r="B9" s="17" t="s">
        <v>20</v>
      </c>
      <c r="C9" s="10">
        <f>27829.76+18263.28</f>
        <v>46093.039999999994</v>
      </c>
      <c r="D9" s="26">
        <f>C9+июнь!D9</f>
        <v>447658.14</v>
      </c>
      <c r="E9" s="11">
        <f>41530.9+23014.13</f>
        <v>64545.03</v>
      </c>
      <c r="F9" s="26">
        <f>E9+июнь!F9</f>
        <v>355879.30000000005</v>
      </c>
      <c r="G9" s="26">
        <f t="shared" si="0"/>
        <v>18451.990000000005</v>
      </c>
      <c r="H9" s="28">
        <f t="shared" si="0"/>
        <v>-91778.839999999967</v>
      </c>
      <c r="I9" s="11">
        <v>42265.599999999999</v>
      </c>
      <c r="J9" s="28">
        <f>I9+июнь!J9</f>
        <v>420545.6</v>
      </c>
      <c r="K9" s="10"/>
      <c r="L9" s="26">
        <f>K9+июнь!L9</f>
        <v>0</v>
      </c>
    </row>
    <row r="10" spans="1:13" ht="15.75">
      <c r="A10" s="1">
        <f t="shared" si="1"/>
        <v>8</v>
      </c>
      <c r="B10" s="17" t="s">
        <v>21</v>
      </c>
      <c r="C10" s="10">
        <f>25055.9+16443.02</f>
        <v>41498.92</v>
      </c>
      <c r="D10" s="26">
        <f>C10+июнь!D10</f>
        <v>279450.54000000004</v>
      </c>
      <c r="E10" s="11">
        <f>26642.38+14863.21</f>
        <v>41505.589999999997</v>
      </c>
      <c r="F10" s="26">
        <f>E10+июнь!F10</f>
        <v>230079.86000000002</v>
      </c>
      <c r="G10" s="26">
        <f t="shared" si="0"/>
        <v>6.6699999999982538</v>
      </c>
      <c r="H10" s="28">
        <f t="shared" si="0"/>
        <v>-49370.680000000022</v>
      </c>
      <c r="I10" s="11">
        <v>28943.360000000001</v>
      </c>
      <c r="J10" s="28">
        <f>I10+июнь!J10</f>
        <v>230391.33000000002</v>
      </c>
      <c r="K10" s="10">
        <v>28943.360000000001</v>
      </c>
      <c r="L10" s="26">
        <f>K10+июнь!L10</f>
        <v>230391.33000000002</v>
      </c>
    </row>
    <row r="11" spans="1:13" ht="15.75">
      <c r="A11" s="1">
        <f t="shared" si="1"/>
        <v>9</v>
      </c>
      <c r="B11" s="17" t="s">
        <v>22</v>
      </c>
      <c r="C11" s="10">
        <f>25055.9+16443.02</f>
        <v>41498.92</v>
      </c>
      <c r="D11" s="26">
        <f>C11+июнь!D11</f>
        <v>279450.54000000004</v>
      </c>
      <c r="E11" s="11">
        <f>26643.01+14863.22</f>
        <v>41506.229999999996</v>
      </c>
      <c r="F11" s="26">
        <f>E11+июнь!F11</f>
        <v>230128.56</v>
      </c>
      <c r="G11" s="26">
        <f t="shared" si="0"/>
        <v>7.3099999999976717</v>
      </c>
      <c r="H11" s="28">
        <f t="shared" si="0"/>
        <v>-49321.98000000004</v>
      </c>
      <c r="I11" s="11">
        <v>29777.599999999999</v>
      </c>
      <c r="J11" s="28">
        <f>I11+июнь!J11</f>
        <v>245111.39</v>
      </c>
      <c r="K11" s="10"/>
      <c r="L11" s="26">
        <f>K11+июнь!L11</f>
        <v>191727.82</v>
      </c>
    </row>
    <row r="12" spans="1:13" ht="15.75">
      <c r="A12" s="1">
        <f t="shared" si="1"/>
        <v>10</v>
      </c>
      <c r="B12" s="17" t="s">
        <v>23</v>
      </c>
      <c r="C12" s="10">
        <f>17078.5+11207.68</f>
        <v>28286.18</v>
      </c>
      <c r="D12" s="26">
        <f>C12+июнь!D12</f>
        <v>190477.11</v>
      </c>
      <c r="E12" s="11">
        <f>17606.96+10271.07</f>
        <v>27878.03</v>
      </c>
      <c r="F12" s="26">
        <f>E12+июнь!F12</f>
        <v>160769.75999999998</v>
      </c>
      <c r="G12" s="26">
        <f t="shared" si="0"/>
        <v>-408.15000000000146</v>
      </c>
      <c r="H12" s="28">
        <f t="shared" si="0"/>
        <v>-29707.350000000006</v>
      </c>
      <c r="I12" s="11">
        <v>29716.78</v>
      </c>
      <c r="J12" s="28">
        <f>I12+июнь!J12</f>
        <v>497103.88</v>
      </c>
      <c r="K12" s="10"/>
      <c r="L12" s="26">
        <f>K12+июнь!L12</f>
        <v>0</v>
      </c>
    </row>
    <row r="13" spans="1:13" ht="15.75">
      <c r="A13" s="1">
        <f t="shared" si="1"/>
        <v>11</v>
      </c>
      <c r="B13" s="17" t="s">
        <v>24</v>
      </c>
      <c r="C13" s="10">
        <f>16053.03+12643.81</f>
        <v>28696.84</v>
      </c>
      <c r="D13" s="26">
        <f>C13+июнь!D13</f>
        <v>204774.04</v>
      </c>
      <c r="E13" s="11">
        <f>16596.15+12680.24</f>
        <v>29276.39</v>
      </c>
      <c r="F13" s="26">
        <f>E13+июнь!F13</f>
        <v>184800.88</v>
      </c>
      <c r="G13" s="26">
        <f t="shared" si="0"/>
        <v>579.54999999999927</v>
      </c>
      <c r="H13" s="28">
        <f t="shared" si="0"/>
        <v>-19973.160000000003</v>
      </c>
      <c r="I13" s="11"/>
      <c r="J13" s="28">
        <f>I13+июнь!J13</f>
        <v>0</v>
      </c>
      <c r="K13" s="10"/>
      <c r="L13" s="26">
        <f>K13+июнь!L13</f>
        <v>0</v>
      </c>
    </row>
    <row r="14" spans="1:13" ht="15.75">
      <c r="A14" s="1">
        <f t="shared" si="1"/>
        <v>12</v>
      </c>
      <c r="B14" s="17" t="s">
        <v>25</v>
      </c>
      <c r="C14" s="10">
        <f>3728.87+2936.9</f>
        <v>6665.77</v>
      </c>
      <c r="D14" s="26">
        <f>C14+июнь!D14</f>
        <v>47565.380000000005</v>
      </c>
      <c r="E14" s="11">
        <f>3857.15+2946.96</f>
        <v>6804.1100000000006</v>
      </c>
      <c r="F14" s="26">
        <f>E14+июнь!F14</f>
        <v>42962.44</v>
      </c>
      <c r="G14" s="26">
        <f t="shared" si="0"/>
        <v>138.34000000000015</v>
      </c>
      <c r="H14" s="28">
        <f t="shared" si="0"/>
        <v>-4602.9400000000023</v>
      </c>
      <c r="I14" s="11"/>
      <c r="J14" s="28">
        <f>I14+июнь!J14</f>
        <v>0</v>
      </c>
      <c r="K14" s="10"/>
      <c r="L14" s="26">
        <f>K14+июнь!L14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C15+июнь!D15</f>
        <v>0</v>
      </c>
      <c r="E15" s="11"/>
      <c r="F15" s="26">
        <f>E15+июнь!F15</f>
        <v>0</v>
      </c>
      <c r="G15" s="26">
        <f t="shared" si="0"/>
        <v>0</v>
      </c>
      <c r="H15" s="28">
        <f t="shared" si="0"/>
        <v>0</v>
      </c>
      <c r="I15" s="11"/>
      <c r="J15" s="28">
        <f>I15+июнь!J15</f>
        <v>0</v>
      </c>
      <c r="K15" s="10"/>
      <c r="L15" s="26">
        <f>K15+июнь!L15</f>
        <v>0</v>
      </c>
    </row>
    <row r="16" spans="1:13" ht="15.75">
      <c r="A16" s="1">
        <f t="shared" si="1"/>
        <v>14</v>
      </c>
      <c r="B16" s="17" t="s">
        <v>27</v>
      </c>
      <c r="C16" s="10">
        <f>1200.81+945.81</f>
        <v>2146.62</v>
      </c>
      <c r="D16" s="26">
        <f>C16+июнь!D16</f>
        <v>15317.68</v>
      </c>
      <c r="E16" s="11">
        <f>1242.09+949.09</f>
        <v>2191.1799999999998</v>
      </c>
      <c r="F16" s="26">
        <f>E16+июнь!F16</f>
        <v>13817.36</v>
      </c>
      <c r="G16" s="26">
        <f t="shared" si="0"/>
        <v>44.559999999999945</v>
      </c>
      <c r="H16" s="28">
        <f t="shared" si="0"/>
        <v>-1500.3199999999997</v>
      </c>
      <c r="I16" s="11"/>
      <c r="J16" s="28">
        <f>I16+июнь!J16</f>
        <v>0</v>
      </c>
      <c r="K16" s="10"/>
      <c r="L16" s="26">
        <f>K16+июнь!L16</f>
        <v>0</v>
      </c>
    </row>
    <row r="17" spans="1:12" ht="15.75">
      <c r="A17" s="1">
        <f t="shared" si="1"/>
        <v>15</v>
      </c>
      <c r="B17" s="17" t="s">
        <v>28</v>
      </c>
      <c r="C17" s="10">
        <f>7963.26+6272.1</f>
        <v>14235.36</v>
      </c>
      <c r="D17" s="26">
        <f>C17+июнь!D17</f>
        <v>101580.36</v>
      </c>
      <c r="E17" s="11">
        <f>8227.13+6374.35</f>
        <v>14601.48</v>
      </c>
      <c r="F17" s="26">
        <f>E17+июнь!F17</f>
        <v>91546.959999999992</v>
      </c>
      <c r="G17" s="26">
        <f t="shared" si="0"/>
        <v>366.11999999999898</v>
      </c>
      <c r="H17" s="28">
        <f t="shared" si="0"/>
        <v>-10033.400000000009</v>
      </c>
      <c r="I17" s="11"/>
      <c r="J17" s="28">
        <f>I17+июнь!J17</f>
        <v>0</v>
      </c>
      <c r="K17" s="10"/>
      <c r="L17" s="26">
        <f>K17+июнь!L17</f>
        <v>0</v>
      </c>
    </row>
    <row r="18" spans="1:12">
      <c r="A18" s="1">
        <f t="shared" si="1"/>
        <v>16</v>
      </c>
      <c r="B18" s="20" t="s">
        <v>36</v>
      </c>
      <c r="C18" s="10">
        <f>2559.65+2016.02</f>
        <v>4575.67</v>
      </c>
      <c r="D18" s="26">
        <f>C18+июнь!D18</f>
        <v>31265.730000000003</v>
      </c>
      <c r="E18" s="11">
        <f>2615.64+1950.33</f>
        <v>4565.9699999999993</v>
      </c>
      <c r="F18" s="26">
        <f>E18+июнь!F18</f>
        <v>26484.200000000004</v>
      </c>
      <c r="G18" s="26">
        <f t="shared" si="0"/>
        <v>-9.7000000000007276</v>
      </c>
      <c r="H18" s="28">
        <f t="shared" si="0"/>
        <v>-4781.5299999999988</v>
      </c>
      <c r="I18" s="11"/>
      <c r="J18" s="28">
        <f>I18+июнь!J18</f>
        <v>0</v>
      </c>
      <c r="K18" s="10"/>
      <c r="L18" s="26">
        <f>K18+июнь!L18</f>
        <v>0</v>
      </c>
    </row>
    <row r="19" spans="1:12">
      <c r="A19" s="1">
        <f t="shared" si="1"/>
        <v>17</v>
      </c>
      <c r="B19" s="8" t="s">
        <v>31</v>
      </c>
      <c r="C19" s="10"/>
      <c r="D19" s="26">
        <f>C19+июнь!D19</f>
        <v>0</v>
      </c>
      <c r="E19" s="11"/>
      <c r="F19" s="26">
        <f>E19+июнь!F19</f>
        <v>0</v>
      </c>
      <c r="G19" s="26">
        <f t="shared" si="0"/>
        <v>0</v>
      </c>
      <c r="H19" s="28">
        <f t="shared" si="0"/>
        <v>0</v>
      </c>
      <c r="I19" s="11"/>
      <c r="J19" s="28">
        <f>I19+июнь!J19</f>
        <v>0</v>
      </c>
      <c r="K19" s="11"/>
      <c r="L19" s="26">
        <f>K19+июнь!L19</f>
        <v>0</v>
      </c>
    </row>
    <row r="20" spans="1:12">
      <c r="A20" s="1">
        <f t="shared" si="1"/>
        <v>18</v>
      </c>
      <c r="B20" s="8" t="s">
        <v>32</v>
      </c>
      <c r="C20" s="10"/>
      <c r="D20" s="26">
        <f>C20+июнь!D20</f>
        <v>0</v>
      </c>
      <c r="E20" s="11"/>
      <c r="F20" s="26">
        <f>E20+июнь!F20</f>
        <v>0</v>
      </c>
      <c r="G20" s="26">
        <f t="shared" si="0"/>
        <v>0</v>
      </c>
      <c r="H20" s="28">
        <f t="shared" si="0"/>
        <v>0</v>
      </c>
      <c r="I20" s="11"/>
      <c r="J20" s="28">
        <f>I20+июнь!J20</f>
        <v>0</v>
      </c>
      <c r="K20" s="11"/>
      <c r="L20" s="26">
        <f>K20+июнь!L20</f>
        <v>0</v>
      </c>
    </row>
    <row r="21" spans="1:12">
      <c r="A21" s="1">
        <f t="shared" si="1"/>
        <v>19</v>
      </c>
      <c r="B21" s="8"/>
      <c r="C21" s="10"/>
      <c r="D21" s="26">
        <f>C21+июнь!D21</f>
        <v>0</v>
      </c>
      <c r="E21" s="11"/>
      <c r="F21" s="26">
        <f>E21+июнь!F21</f>
        <v>0</v>
      </c>
      <c r="G21" s="26">
        <f t="shared" si="0"/>
        <v>0</v>
      </c>
      <c r="H21" s="28">
        <f t="shared" si="0"/>
        <v>0</v>
      </c>
      <c r="I21" s="11"/>
      <c r="J21" s="28">
        <f>I21+июнь!J21</f>
        <v>0</v>
      </c>
      <c r="K21" s="10"/>
      <c r="L21" s="26">
        <f>K21+июнь!L21</f>
        <v>0</v>
      </c>
    </row>
    <row r="22" spans="1:12">
      <c r="A22" s="1">
        <f t="shared" si="1"/>
        <v>20</v>
      </c>
      <c r="B22" s="8"/>
      <c r="C22" s="10"/>
      <c r="D22" s="26">
        <f>C22+июнь!D22</f>
        <v>0</v>
      </c>
      <c r="E22" s="11"/>
      <c r="F22" s="26">
        <f>E22+июнь!F22</f>
        <v>0</v>
      </c>
      <c r="G22" s="26">
        <f t="shared" si="0"/>
        <v>0</v>
      </c>
      <c r="H22" s="28">
        <f t="shared" si="0"/>
        <v>0</v>
      </c>
      <c r="I22" s="11"/>
      <c r="J22" s="28">
        <f>I22+июнь!J22</f>
        <v>0</v>
      </c>
      <c r="K22" s="10"/>
      <c r="L22" s="26">
        <f>K22+июнь!L22</f>
        <v>0</v>
      </c>
    </row>
    <row r="23" spans="1:12">
      <c r="A23" s="31"/>
      <c r="B23" s="29" t="s">
        <v>13</v>
      </c>
      <c r="C23" s="26">
        <f t="shared" ref="C23:L23" si="2">SUM(C3:C22)</f>
        <v>494340.44999999995</v>
      </c>
      <c r="D23" s="26">
        <f t="shared" si="2"/>
        <v>3517359.14</v>
      </c>
      <c r="E23" s="28">
        <f t="shared" si="2"/>
        <v>513478.27999999997</v>
      </c>
      <c r="F23" s="26">
        <f t="shared" si="2"/>
        <v>3019063.92</v>
      </c>
      <c r="G23" s="26">
        <f t="shared" si="2"/>
        <v>19137.830000000027</v>
      </c>
      <c r="H23" s="28">
        <f t="shared" si="2"/>
        <v>-498295.2200000002</v>
      </c>
      <c r="I23" s="28">
        <f t="shared" si="2"/>
        <v>186758.46</v>
      </c>
      <c r="J23" s="28">
        <f t="shared" si="2"/>
        <v>3426322.1700000004</v>
      </c>
      <c r="K23" s="26">
        <f t="shared" si="2"/>
        <v>218736.03999999998</v>
      </c>
      <c r="L23" s="26">
        <f t="shared" si="2"/>
        <v>2152916.4299999997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K11" sqref="K11"/>
    </sheetView>
  </sheetViews>
  <sheetFormatPr defaultRowHeight="12.75"/>
  <cols>
    <col min="1" max="1" width="4.42578125" customWidth="1"/>
    <col min="2" max="2" width="19" customWidth="1"/>
    <col min="3" max="3" width="11.42578125" customWidth="1"/>
    <col min="4" max="4" width="12.28515625" customWidth="1"/>
    <col min="5" max="5" width="10.140625" bestFit="1" customWidth="1"/>
    <col min="6" max="6" width="11.85546875" customWidth="1"/>
    <col min="7" max="7" width="9.7109375" bestFit="1" customWidth="1"/>
    <col min="8" max="8" width="13.140625" customWidth="1"/>
    <col min="9" max="9" width="11.140625" customWidth="1"/>
    <col min="10" max="10" width="12" customWidth="1"/>
    <col min="11" max="11" width="10.140625" bestFit="1" customWidth="1"/>
    <col min="12" max="12" width="11.85546875" customWidth="1"/>
    <col min="13" max="13" width="10.7109375" bestFit="1" customWidth="1"/>
  </cols>
  <sheetData>
    <row r="1" spans="1:13">
      <c r="E1" s="15" t="s">
        <v>44</v>
      </c>
    </row>
    <row r="2" spans="1:13">
      <c r="A2" s="1" t="s">
        <v>0</v>
      </c>
      <c r="B2" s="6" t="s">
        <v>1</v>
      </c>
      <c r="C2" s="5" t="s">
        <v>2</v>
      </c>
      <c r="D2" s="30" t="s">
        <v>3</v>
      </c>
      <c r="E2" s="7" t="s">
        <v>4</v>
      </c>
      <c r="F2" s="30" t="s">
        <v>5</v>
      </c>
      <c r="G2" s="30" t="s">
        <v>6</v>
      </c>
      <c r="H2" s="32" t="s">
        <v>7</v>
      </c>
      <c r="I2" s="7" t="s">
        <v>8</v>
      </c>
      <c r="J2" s="32" t="s">
        <v>9</v>
      </c>
      <c r="K2" s="6" t="s">
        <v>10</v>
      </c>
      <c r="L2" s="30" t="s">
        <v>11</v>
      </c>
    </row>
    <row r="3" spans="1:13" ht="15.75">
      <c r="A3" s="1">
        <v>1</v>
      </c>
      <c r="B3" s="17" t="s">
        <v>14</v>
      </c>
      <c r="C3" s="10">
        <f>21056.44+26053.95</f>
        <v>47110.39</v>
      </c>
      <c r="D3" s="26">
        <f>C3+июль!D3</f>
        <v>388131.65</v>
      </c>
      <c r="E3" s="11">
        <f>21103.72+27619.71</f>
        <v>48723.43</v>
      </c>
      <c r="F3" s="26">
        <f>E3+июль!F3</f>
        <v>356164.92</v>
      </c>
      <c r="G3" s="26">
        <f>E3-C3</f>
        <v>1613.0400000000009</v>
      </c>
      <c r="H3" s="28">
        <f>F3-D3</f>
        <v>-31966.73000000004</v>
      </c>
      <c r="I3" s="11"/>
      <c r="J3" s="28">
        <f>I3+июль!J3</f>
        <v>0</v>
      </c>
      <c r="K3" s="10"/>
      <c r="L3" s="26">
        <f>K3+июль!L3</f>
        <v>0</v>
      </c>
    </row>
    <row r="4" spans="1:13" ht="15.75">
      <c r="A4" s="1">
        <f>A3+1</f>
        <v>2</v>
      </c>
      <c r="B4" s="17" t="s">
        <v>15</v>
      </c>
      <c r="C4" s="10">
        <f>47093.21+58270.26</f>
        <v>105363.47</v>
      </c>
      <c r="D4" s="26">
        <f>C4+июль!D4</f>
        <v>830944.62</v>
      </c>
      <c r="E4" s="11">
        <f>46779.55+60690.21</f>
        <v>107469.76000000001</v>
      </c>
      <c r="F4" s="26">
        <f>E4+июль!F4</f>
        <v>760770.05</v>
      </c>
      <c r="G4" s="26">
        <f t="shared" ref="G4:H22" si="0">E4-C4</f>
        <v>2106.2900000000081</v>
      </c>
      <c r="H4" s="28">
        <f t="shared" si="0"/>
        <v>-70174.569999999949</v>
      </c>
      <c r="I4" s="11">
        <v>78566.17</v>
      </c>
      <c r="J4" s="28">
        <f>I4+июль!J4</f>
        <v>2111736.14</v>
      </c>
      <c r="K4" s="10">
        <v>233328.31</v>
      </c>
      <c r="L4" s="26">
        <f>K4+июль!L4</f>
        <v>1964125.5899999999</v>
      </c>
      <c r="M4" s="37">
        <f>L4-J4</f>
        <v>-147610.55000000028</v>
      </c>
    </row>
    <row r="5" spans="1:13" ht="15.75">
      <c r="A5" s="1">
        <f t="shared" ref="A5:A22" si="1">A4+1</f>
        <v>3</v>
      </c>
      <c r="B5" s="17" t="s">
        <v>17</v>
      </c>
      <c r="C5" s="10">
        <f>44272.88+63557.51</f>
        <v>107830.39</v>
      </c>
      <c r="D5" s="26">
        <f>C5+июль!D5</f>
        <v>868335.29</v>
      </c>
      <c r="E5" s="11">
        <f>40968.61+70186.85</f>
        <v>111155.46</v>
      </c>
      <c r="F5" s="26">
        <f>E5+июль!F5</f>
        <v>749381.64999999991</v>
      </c>
      <c r="G5" s="26">
        <f t="shared" si="0"/>
        <v>3325.070000000007</v>
      </c>
      <c r="H5" s="28">
        <f t="shared" si="0"/>
        <v>-118953.64000000013</v>
      </c>
      <c r="I5" s="11"/>
      <c r="J5" s="28">
        <f>I5+июль!J5</f>
        <v>0</v>
      </c>
      <c r="K5" s="10"/>
      <c r="L5" s="26">
        <f>K5+июль!L5</f>
        <v>0</v>
      </c>
    </row>
    <row r="6" spans="1:13" ht="15.75">
      <c r="A6" s="1">
        <f t="shared" si="1"/>
        <v>4</v>
      </c>
      <c r="B6" s="17" t="s">
        <v>18</v>
      </c>
      <c r="C6" s="10"/>
      <c r="D6" s="26">
        <f>C6+июль!D6</f>
        <v>0</v>
      </c>
      <c r="E6" s="11"/>
      <c r="F6" s="26">
        <f>E6+июль!F6</f>
        <v>0</v>
      </c>
      <c r="G6" s="26">
        <f t="shared" si="0"/>
        <v>0</v>
      </c>
      <c r="H6" s="28">
        <f t="shared" si="0"/>
        <v>0</v>
      </c>
      <c r="I6" s="11"/>
      <c r="J6" s="28">
        <f>I6+июль!J6</f>
        <v>0</v>
      </c>
      <c r="K6" s="10"/>
      <c r="L6" s="26">
        <f>K6+июль!L6</f>
        <v>0</v>
      </c>
    </row>
    <row r="7" spans="1:13" ht="15.75">
      <c r="A7" s="1">
        <f t="shared" si="1"/>
        <v>5</v>
      </c>
      <c r="B7" s="18" t="s">
        <v>19</v>
      </c>
      <c r="C7" s="10">
        <f>3210.7+3972.74</f>
        <v>7183.44</v>
      </c>
      <c r="D7" s="26">
        <f>C7+июль!D7</f>
        <v>59182.759999999995</v>
      </c>
      <c r="E7" s="11">
        <f>3221.7+4216.77</f>
        <v>7438.47</v>
      </c>
      <c r="F7" s="26">
        <f>E7+июль!F7</f>
        <v>54406.07</v>
      </c>
      <c r="G7" s="26">
        <f t="shared" si="0"/>
        <v>255.03000000000065</v>
      </c>
      <c r="H7" s="28">
        <f t="shared" si="0"/>
        <v>-4776.6899999999951</v>
      </c>
      <c r="I7" s="11"/>
      <c r="J7" s="28">
        <f>I7+июль!J7</f>
        <v>0</v>
      </c>
      <c r="K7" s="10"/>
      <c r="L7" s="26">
        <f>K7+июль!L7</f>
        <v>0</v>
      </c>
    </row>
    <row r="8" spans="1:13" ht="15.75">
      <c r="A8" s="1">
        <f t="shared" si="1"/>
        <v>6</v>
      </c>
      <c r="B8" s="17" t="s">
        <v>29</v>
      </c>
      <c r="C8" s="10">
        <f>2513.84+3110.45</f>
        <v>5624.29</v>
      </c>
      <c r="D8" s="26">
        <f>C8+июль!D8</f>
        <v>46337.280000000006</v>
      </c>
      <c r="E8" s="11">
        <f>2519.7+3297.55</f>
        <v>5817.25</v>
      </c>
      <c r="F8" s="26">
        <f>E8+июль!F8</f>
        <v>42476.28</v>
      </c>
      <c r="G8" s="26">
        <f t="shared" si="0"/>
        <v>192.96000000000004</v>
      </c>
      <c r="H8" s="28">
        <f t="shared" si="0"/>
        <v>-3861.0000000000073</v>
      </c>
      <c r="I8" s="11"/>
      <c r="J8" s="28">
        <f>I8+июль!J8</f>
        <v>0</v>
      </c>
      <c r="K8" s="10"/>
      <c r="L8" s="26">
        <f>K8+июль!L8</f>
        <v>0</v>
      </c>
    </row>
    <row r="9" spans="1:13" ht="15.75">
      <c r="A9" s="1">
        <f t="shared" si="1"/>
        <v>7</v>
      </c>
      <c r="B9" s="17" t="s">
        <v>20</v>
      </c>
      <c r="C9" s="10">
        <f>17977.31+24969.73</f>
        <v>42947.040000000001</v>
      </c>
      <c r="D9" s="26">
        <f>C9+июль!D9</f>
        <v>490605.18</v>
      </c>
      <c r="E9" s="11">
        <f>23014.13+41530.9</f>
        <v>64545.03</v>
      </c>
      <c r="F9" s="26">
        <f>E9+июль!F9</f>
        <v>420424.33000000007</v>
      </c>
      <c r="G9" s="26">
        <f t="shared" si="0"/>
        <v>21597.989999999998</v>
      </c>
      <c r="H9" s="28">
        <f t="shared" si="0"/>
        <v>-70180.849999999919</v>
      </c>
      <c r="I9" s="11">
        <v>36940.800000000003</v>
      </c>
      <c r="J9" s="28">
        <f>I9+июль!J9</f>
        <v>457486.39999999997</v>
      </c>
      <c r="K9" s="10"/>
      <c r="L9" s="26">
        <f>K9+июль!L9</f>
        <v>0</v>
      </c>
    </row>
    <row r="10" spans="1:13" ht="15.75">
      <c r="A10" s="1">
        <f t="shared" si="1"/>
        <v>8</v>
      </c>
      <c r="B10" s="17" t="s">
        <v>21</v>
      </c>
      <c r="C10" s="10">
        <f>16262.6+23329.73</f>
        <v>39592.33</v>
      </c>
      <c r="D10" s="26">
        <f>C10+июль!D10</f>
        <v>319042.87000000005</v>
      </c>
      <c r="E10" s="11">
        <f>14863.21+26642.38</f>
        <v>41505.589999999997</v>
      </c>
      <c r="F10" s="26">
        <f>E10+июль!F10</f>
        <v>271585.45</v>
      </c>
      <c r="G10" s="26">
        <f t="shared" si="0"/>
        <v>1913.2599999999948</v>
      </c>
      <c r="H10" s="28">
        <f t="shared" si="0"/>
        <v>-47457.420000000042</v>
      </c>
      <c r="I10" s="11">
        <v>29152.03</v>
      </c>
      <c r="J10" s="28">
        <f>I10+июль!J10</f>
        <v>259543.36000000002</v>
      </c>
      <c r="K10" s="10">
        <v>29152.03</v>
      </c>
      <c r="L10" s="26">
        <f>K10+июль!L10</f>
        <v>259543.36000000002</v>
      </c>
    </row>
    <row r="11" spans="1:13" ht="15.75">
      <c r="A11" s="1">
        <f t="shared" si="1"/>
        <v>9</v>
      </c>
      <c r="B11" s="17" t="s">
        <v>22</v>
      </c>
      <c r="C11" s="10">
        <f>16262.6+23329.41</f>
        <v>39592.01</v>
      </c>
      <c r="D11" s="26">
        <f>C11+июль!D11</f>
        <v>319042.55000000005</v>
      </c>
      <c r="E11" s="11">
        <f>14863.22+26643.01</f>
        <v>41506.229999999996</v>
      </c>
      <c r="F11" s="26">
        <f>E11+июль!F11</f>
        <v>271634.78999999998</v>
      </c>
      <c r="G11" s="26">
        <f t="shared" si="0"/>
        <v>1914.2199999999939</v>
      </c>
      <c r="H11" s="28">
        <f t="shared" si="0"/>
        <v>-47407.760000000068</v>
      </c>
      <c r="I11" s="11">
        <v>29986.27</v>
      </c>
      <c r="J11" s="28">
        <f>I11+июль!J11</f>
        <v>275097.66000000003</v>
      </c>
      <c r="K11" s="10">
        <v>905.49</v>
      </c>
      <c r="L11" s="26">
        <f>K11+июль!L11</f>
        <v>192633.31</v>
      </c>
    </row>
    <row r="12" spans="1:13" ht="15.75">
      <c r="A12" s="1">
        <f t="shared" si="1"/>
        <v>10</v>
      </c>
      <c r="B12" s="17" t="s">
        <v>23</v>
      </c>
      <c r="C12" s="10">
        <f>11084.71+15907.08</f>
        <v>26991.79</v>
      </c>
      <c r="D12" s="26">
        <f>C12+июль!D12</f>
        <v>217468.9</v>
      </c>
      <c r="E12" s="11">
        <f>10271.07+17606.96</f>
        <v>27878.03</v>
      </c>
      <c r="F12" s="26">
        <f>E12+июль!F12</f>
        <v>188647.78999999998</v>
      </c>
      <c r="G12" s="26">
        <f t="shared" si="0"/>
        <v>886.23999999999796</v>
      </c>
      <c r="H12" s="28">
        <f t="shared" si="0"/>
        <v>-28821.110000000015</v>
      </c>
      <c r="I12" s="11">
        <v>29716.78</v>
      </c>
      <c r="J12" s="28">
        <f>I12+июль!J12</f>
        <v>526820.66</v>
      </c>
      <c r="K12" s="10"/>
      <c r="L12" s="26">
        <f>K12+июль!L12</f>
        <v>0</v>
      </c>
    </row>
    <row r="13" spans="1:13" ht="15.75">
      <c r="A13" s="1">
        <f t="shared" si="1"/>
        <v>11</v>
      </c>
      <c r="B13" s="17" t="s">
        <v>24</v>
      </c>
      <c r="C13" s="10">
        <f>12643.81+15644.71</f>
        <v>28288.519999999997</v>
      </c>
      <c r="D13" s="26">
        <f>C13+июль!D13</f>
        <v>233062.56</v>
      </c>
      <c r="E13" s="11">
        <f>12680.24+16596.15</f>
        <v>29276.39</v>
      </c>
      <c r="F13" s="26">
        <f>E13+июль!F13</f>
        <v>214077.27000000002</v>
      </c>
      <c r="G13" s="26">
        <f t="shared" si="0"/>
        <v>987.87000000000262</v>
      </c>
      <c r="H13" s="28">
        <f t="shared" si="0"/>
        <v>-18985.289999999979</v>
      </c>
      <c r="I13" s="11"/>
      <c r="J13" s="28">
        <f>I13+июль!J13</f>
        <v>0</v>
      </c>
      <c r="K13" s="10"/>
      <c r="L13" s="26">
        <f>K13+июль!L13</f>
        <v>0</v>
      </c>
    </row>
    <row r="14" spans="1:13" ht="15.75">
      <c r="A14" s="1">
        <f t="shared" si="1"/>
        <v>12</v>
      </c>
      <c r="B14" s="17" t="s">
        <v>25</v>
      </c>
      <c r="C14" s="10">
        <f>2936.9+3634.02</f>
        <v>6570.92</v>
      </c>
      <c r="D14" s="26">
        <f>C14+июль!D14</f>
        <v>54136.3</v>
      </c>
      <c r="E14" s="11">
        <f>2946.96+3857.15</f>
        <v>6804.1100000000006</v>
      </c>
      <c r="F14" s="26">
        <f>E14+июль!F14</f>
        <v>49766.55</v>
      </c>
      <c r="G14" s="26">
        <f t="shared" si="0"/>
        <v>233.19000000000051</v>
      </c>
      <c r="H14" s="28">
        <f t="shared" si="0"/>
        <v>-4369.75</v>
      </c>
      <c r="I14" s="11"/>
      <c r="J14" s="28">
        <f>I14+июль!J14</f>
        <v>0</v>
      </c>
      <c r="K14" s="10"/>
      <c r="L14" s="26">
        <f>K14+июль!L14</f>
        <v>0</v>
      </c>
    </row>
    <row r="15" spans="1:13" ht="15.75">
      <c r="A15" s="1">
        <f t="shared" si="1"/>
        <v>13</v>
      </c>
      <c r="B15" s="17" t="s">
        <v>26</v>
      </c>
      <c r="C15" s="10"/>
      <c r="D15" s="26">
        <f>C15+июль!D15</f>
        <v>0</v>
      </c>
      <c r="E15" s="11"/>
      <c r="F15" s="26">
        <f>E15+июль!F15</f>
        <v>0</v>
      </c>
      <c r="G15" s="26">
        <f t="shared" si="0"/>
        <v>0</v>
      </c>
      <c r="H15" s="28">
        <f t="shared" si="0"/>
        <v>0</v>
      </c>
      <c r="I15" s="11"/>
      <c r="J15" s="28">
        <f>I15+июль!J15</f>
        <v>0</v>
      </c>
      <c r="K15" s="10"/>
      <c r="L15" s="26">
        <f>K15+июль!L15</f>
        <v>0</v>
      </c>
    </row>
    <row r="16" spans="1:13" ht="15.75">
      <c r="A16" s="1">
        <f t="shared" si="1"/>
        <v>14</v>
      </c>
      <c r="B16" s="17" t="s">
        <v>27</v>
      </c>
      <c r="C16" s="10">
        <f>945.81+1170.27</f>
        <v>2116.08</v>
      </c>
      <c r="D16" s="26">
        <f>C16+июль!D16</f>
        <v>17433.760000000002</v>
      </c>
      <c r="E16" s="11">
        <f>949.09+1242.09</f>
        <v>2191.1799999999998</v>
      </c>
      <c r="F16" s="26">
        <f>E16+июль!F16</f>
        <v>16008.54</v>
      </c>
      <c r="G16" s="26">
        <f t="shared" si="0"/>
        <v>75.099999999999909</v>
      </c>
      <c r="H16" s="28">
        <f t="shared" si="0"/>
        <v>-1425.2200000000012</v>
      </c>
      <c r="I16" s="11"/>
      <c r="J16" s="28">
        <f>I16+июль!J16</f>
        <v>0</v>
      </c>
      <c r="K16" s="10"/>
      <c r="L16" s="26">
        <f>K16+июль!L16</f>
        <v>0</v>
      </c>
    </row>
    <row r="17" spans="1:12" ht="15.75">
      <c r="A17" s="1">
        <f t="shared" si="1"/>
        <v>15</v>
      </c>
      <c r="B17" s="17" t="s">
        <v>28</v>
      </c>
      <c r="C17" s="10">
        <f>6272.1+7760.71</f>
        <v>14032.810000000001</v>
      </c>
      <c r="D17" s="26">
        <f>C17+июль!D17</f>
        <v>115613.17</v>
      </c>
      <c r="E17" s="11">
        <f>6374.35+8227.13</f>
        <v>14601.48</v>
      </c>
      <c r="F17" s="26">
        <f>E17+июль!F17</f>
        <v>106148.43999999999</v>
      </c>
      <c r="G17" s="26">
        <f t="shared" si="0"/>
        <v>568.66999999999825</v>
      </c>
      <c r="H17" s="28">
        <f t="shared" si="0"/>
        <v>-9464.7300000000105</v>
      </c>
      <c r="I17" s="11"/>
      <c r="J17" s="28">
        <f>I17+июль!J17</f>
        <v>0</v>
      </c>
      <c r="K17" s="10"/>
      <c r="L17" s="26">
        <f>K17+июль!L17</f>
        <v>0</v>
      </c>
    </row>
    <row r="18" spans="1:12">
      <c r="A18" s="1">
        <f t="shared" si="1"/>
        <v>16</v>
      </c>
      <c r="B18" s="19" t="s">
        <v>34</v>
      </c>
      <c r="C18" s="10">
        <f>2016.02+2494.55</f>
        <v>4510.57</v>
      </c>
      <c r="D18" s="26">
        <f>C18+июль!D18</f>
        <v>35776.300000000003</v>
      </c>
      <c r="E18" s="11">
        <f>1950.33+2615.64</f>
        <v>4565.9699999999993</v>
      </c>
      <c r="F18" s="26">
        <f>E18+июль!F18</f>
        <v>31050.170000000006</v>
      </c>
      <c r="G18" s="26">
        <f t="shared" si="0"/>
        <v>55.399999999999636</v>
      </c>
      <c r="H18" s="28">
        <f t="shared" si="0"/>
        <v>-4726.1299999999974</v>
      </c>
      <c r="I18" s="11"/>
      <c r="J18" s="28">
        <f>I18+июль!J18</f>
        <v>0</v>
      </c>
      <c r="K18" s="10"/>
      <c r="L18" s="26">
        <f>K18+июль!L18</f>
        <v>0</v>
      </c>
    </row>
    <row r="19" spans="1:12">
      <c r="A19" s="1">
        <f t="shared" si="1"/>
        <v>17</v>
      </c>
      <c r="B19" s="8" t="s">
        <v>31</v>
      </c>
      <c r="C19" s="10"/>
      <c r="D19" s="26">
        <f>C19+июль!D19</f>
        <v>0</v>
      </c>
      <c r="E19" s="11"/>
      <c r="F19" s="26">
        <f>E19+июль!F19</f>
        <v>0</v>
      </c>
      <c r="G19" s="26">
        <f t="shared" si="0"/>
        <v>0</v>
      </c>
      <c r="H19" s="28">
        <f t="shared" si="0"/>
        <v>0</v>
      </c>
      <c r="I19" s="11"/>
      <c r="J19" s="28">
        <f>I19+июль!J19</f>
        <v>0</v>
      </c>
      <c r="K19" s="10"/>
      <c r="L19" s="26">
        <f>K19+июль!L19</f>
        <v>0</v>
      </c>
    </row>
    <row r="20" spans="1:12">
      <c r="A20" s="1">
        <f t="shared" si="1"/>
        <v>18</v>
      </c>
      <c r="B20" s="8" t="s">
        <v>32</v>
      </c>
      <c r="C20" s="10"/>
      <c r="D20" s="26">
        <f>C20+июль!D20</f>
        <v>0</v>
      </c>
      <c r="E20" s="11"/>
      <c r="F20" s="26">
        <f>E20+июль!F20</f>
        <v>0</v>
      </c>
      <c r="G20" s="26">
        <f t="shared" si="0"/>
        <v>0</v>
      </c>
      <c r="H20" s="28">
        <f t="shared" si="0"/>
        <v>0</v>
      </c>
      <c r="I20" s="11"/>
      <c r="J20" s="28">
        <f>I20+июль!J20</f>
        <v>0</v>
      </c>
      <c r="K20" s="10"/>
      <c r="L20" s="26">
        <f>K20+июль!L20</f>
        <v>0</v>
      </c>
    </row>
    <row r="21" spans="1:12">
      <c r="A21" s="1">
        <f t="shared" si="1"/>
        <v>19</v>
      </c>
      <c r="B21" s="8"/>
      <c r="C21" s="10"/>
      <c r="D21" s="26">
        <f>C21+июль!D21</f>
        <v>0</v>
      </c>
      <c r="E21" s="11"/>
      <c r="F21" s="26">
        <f>E21+июль!F21</f>
        <v>0</v>
      </c>
      <c r="G21" s="26">
        <f t="shared" si="0"/>
        <v>0</v>
      </c>
      <c r="H21" s="28">
        <f t="shared" si="0"/>
        <v>0</v>
      </c>
      <c r="I21" s="11"/>
      <c r="J21" s="28">
        <f>I21+июль!J21</f>
        <v>0</v>
      </c>
      <c r="K21" s="10"/>
      <c r="L21" s="26">
        <f>K21+июль!L21</f>
        <v>0</v>
      </c>
    </row>
    <row r="22" spans="1:12">
      <c r="A22" s="1">
        <f t="shared" si="1"/>
        <v>20</v>
      </c>
      <c r="B22" s="8"/>
      <c r="C22" s="10"/>
      <c r="D22" s="26">
        <f>C22+июль!D22</f>
        <v>0</v>
      </c>
      <c r="E22" s="11"/>
      <c r="F22" s="26">
        <f>E22+июль!F22</f>
        <v>0</v>
      </c>
      <c r="G22" s="26">
        <f t="shared" si="0"/>
        <v>0</v>
      </c>
      <c r="H22" s="28">
        <f t="shared" si="0"/>
        <v>0</v>
      </c>
      <c r="I22" s="11"/>
      <c r="J22" s="28">
        <f>I22+июль!J22</f>
        <v>0</v>
      </c>
      <c r="K22" s="10"/>
      <c r="L22" s="26">
        <f>K22+июль!L22</f>
        <v>0</v>
      </c>
    </row>
    <row r="23" spans="1:12">
      <c r="A23" s="31"/>
      <c r="B23" s="29" t="s">
        <v>13</v>
      </c>
      <c r="C23" s="26">
        <f t="shared" ref="C23:L23" si="2">SUM(C3:C22)</f>
        <v>477754.05</v>
      </c>
      <c r="D23" s="26">
        <f t="shared" si="2"/>
        <v>3995113.1899999995</v>
      </c>
      <c r="E23" s="28">
        <f t="shared" si="2"/>
        <v>513478.37999999995</v>
      </c>
      <c r="F23" s="26">
        <f t="shared" si="2"/>
        <v>3532542.3</v>
      </c>
      <c r="G23" s="26">
        <f t="shared" si="2"/>
        <v>35724.33</v>
      </c>
      <c r="H23" s="28">
        <f t="shared" si="2"/>
        <v>-462570.89000000013</v>
      </c>
      <c r="I23" s="28">
        <f t="shared" si="2"/>
        <v>204362.05</v>
      </c>
      <c r="J23" s="28">
        <f t="shared" si="2"/>
        <v>3630684.22</v>
      </c>
      <c r="K23" s="26">
        <f t="shared" si="2"/>
        <v>263385.82999999996</v>
      </c>
      <c r="L23" s="26">
        <f t="shared" si="2"/>
        <v>2416302.2599999998</v>
      </c>
    </row>
    <row r="26" spans="1:12">
      <c r="C26" s="33" t="s"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Декабрь11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декабрь12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Карлсуня</cp:lastModifiedBy>
  <cp:lastPrinted>2012-05-17T06:29:53Z</cp:lastPrinted>
  <dcterms:created xsi:type="dcterms:W3CDTF">1996-10-08T23:32:33Z</dcterms:created>
  <dcterms:modified xsi:type="dcterms:W3CDTF">2013-03-15T08:41:40Z</dcterms:modified>
</cp:coreProperties>
</file>