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2" activeTab="12"/>
  </bookViews>
  <sheets>
    <sheet name="Декабрь11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1" r:id="rId10"/>
    <sheet name="октябрь" sheetId="10" r:id="rId11"/>
    <sheet name="ноябрь" sheetId="12" r:id="rId12"/>
    <sheet name="декабрь12" sheetId="13" r:id="rId13"/>
    <sheet name="Лист14" sheetId="14" r:id="rId14"/>
  </sheets>
  <calcPr calcId="124519"/>
</workbook>
</file>

<file path=xl/calcChain.xml><?xml version="1.0" encoding="utf-8"?>
<calcChain xmlns="http://schemas.openxmlformats.org/spreadsheetml/2006/main">
  <c r="E20" i="13"/>
  <c r="C20"/>
  <c r="E19"/>
  <c r="C19"/>
  <c r="E18"/>
  <c r="C18"/>
  <c r="E17"/>
  <c r="C17"/>
  <c r="E16"/>
  <c r="C16"/>
  <c r="E15"/>
  <c r="C15"/>
  <c r="E14"/>
  <c r="C14"/>
  <c r="E11"/>
  <c r="C11"/>
  <c r="E8"/>
  <c r="C8"/>
  <c r="E5"/>
  <c r="C5"/>
  <c r="E4"/>
  <c r="C4"/>
  <c r="E19" i="12"/>
  <c r="C19"/>
  <c r="E18"/>
  <c r="C18"/>
  <c r="E17"/>
  <c r="C17"/>
  <c r="E16"/>
  <c r="C16"/>
  <c r="E15"/>
  <c r="C15"/>
  <c r="E14"/>
  <c r="C14"/>
  <c r="E13"/>
  <c r="C13"/>
  <c r="E10"/>
  <c r="C10"/>
  <c r="E7"/>
  <c r="C7"/>
  <c r="E4"/>
  <c r="C4"/>
  <c r="E3"/>
  <c r="C3"/>
  <c r="E19" i="10"/>
  <c r="C19"/>
  <c r="E18"/>
  <c r="C18"/>
  <c r="E17"/>
  <c r="C17"/>
  <c r="E16"/>
  <c r="C16"/>
  <c r="E15"/>
  <c r="C15"/>
  <c r="E14"/>
  <c r="C14"/>
  <c r="E13"/>
  <c r="C13"/>
  <c r="E10"/>
  <c r="C10"/>
  <c r="E7"/>
  <c r="C7"/>
  <c r="E4"/>
  <c r="C4"/>
  <c r="E3"/>
  <c r="C3"/>
  <c r="B19" i="12"/>
  <c r="B20" i="13" s="1"/>
  <c r="B16" i="10"/>
  <c r="B16" i="12" s="1"/>
  <c r="B17" i="10"/>
  <c r="B17" i="12" s="1"/>
  <c r="B18" i="13" s="1"/>
  <c r="B18" i="10"/>
  <c r="B18" i="12"/>
  <c r="B19" i="13" s="1"/>
  <c r="B15" i="10"/>
  <c r="B15" i="12" s="1"/>
  <c r="B16" i="13" s="1"/>
  <c r="E18" i="11"/>
  <c r="C18"/>
  <c r="E17"/>
  <c r="C17"/>
  <c r="E16"/>
  <c r="C16"/>
  <c r="E15"/>
  <c r="C15"/>
  <c r="E14"/>
  <c r="C14"/>
  <c r="E13"/>
  <c r="C13"/>
  <c r="E11"/>
  <c r="E10"/>
  <c r="C10"/>
  <c r="E7"/>
  <c r="C7"/>
  <c r="E4"/>
  <c r="C4"/>
  <c r="E3"/>
  <c r="C3"/>
  <c r="E14" i="9"/>
  <c r="C14"/>
  <c r="E13"/>
  <c r="C13"/>
  <c r="E10"/>
  <c r="C10"/>
  <c r="E7"/>
  <c r="C7"/>
  <c r="E4"/>
  <c r="C4"/>
  <c r="E3"/>
  <c r="C3"/>
  <c r="E14" i="8"/>
  <c r="E13"/>
  <c r="E10"/>
  <c r="E7"/>
  <c r="E4"/>
  <c r="E3"/>
  <c r="C14"/>
  <c r="C13"/>
  <c r="C10"/>
  <c r="C7"/>
  <c r="C4"/>
  <c r="C3"/>
  <c r="C11" i="7"/>
  <c r="E14"/>
  <c r="C14"/>
  <c r="E13"/>
  <c r="C13"/>
  <c r="E11"/>
  <c r="E10"/>
  <c r="C10"/>
  <c r="E7"/>
  <c r="C7"/>
  <c r="E4"/>
  <c r="C4"/>
  <c r="E3"/>
  <c r="C3"/>
  <c r="E16" i="6"/>
  <c r="C16"/>
  <c r="E15"/>
  <c r="C15"/>
  <c r="E13"/>
  <c r="C13"/>
  <c r="E12"/>
  <c r="C12"/>
  <c r="E9"/>
  <c r="C9"/>
  <c r="E6"/>
  <c r="C6"/>
  <c r="E5"/>
  <c r="C5"/>
  <c r="E16" i="5"/>
  <c r="C16"/>
  <c r="E15"/>
  <c r="C15"/>
  <c r="E12"/>
  <c r="C12"/>
  <c r="E9"/>
  <c r="C9"/>
  <c r="E6"/>
  <c r="C6"/>
  <c r="E5"/>
  <c r="C5"/>
  <c r="E14" i="4"/>
  <c r="C14"/>
  <c r="E13"/>
  <c r="C13"/>
  <c r="E10"/>
  <c r="C10"/>
  <c r="E7"/>
  <c r="C7"/>
  <c r="E4"/>
  <c r="C4"/>
  <c r="E3"/>
  <c r="C3"/>
  <c r="E14" i="3"/>
  <c r="C14"/>
  <c r="E13"/>
  <c r="C13"/>
  <c r="E10"/>
  <c r="C10"/>
  <c r="E7"/>
  <c r="C7"/>
  <c r="E4"/>
  <c r="C4"/>
  <c r="E3"/>
  <c r="C3"/>
  <c r="E14" i="2"/>
  <c r="C14"/>
  <c r="E13"/>
  <c r="C13"/>
  <c r="E10"/>
  <c r="F10" s="1"/>
  <c r="F10" i="3" s="1"/>
  <c r="C10" i="2"/>
  <c r="E7"/>
  <c r="F7" s="1"/>
  <c r="F7" i="3" s="1"/>
  <c r="C7" i="2"/>
  <c r="E4"/>
  <c r="F4" s="1"/>
  <c r="F4" i="3" s="1"/>
  <c r="C4" i="2"/>
  <c r="E3"/>
  <c r="C3"/>
  <c r="F5"/>
  <c r="F5" i="3" s="1"/>
  <c r="F5" i="4" s="1"/>
  <c r="F7" i="5" s="1"/>
  <c r="F7" i="6" s="1"/>
  <c r="F5" i="7" s="1"/>
  <c r="F5" i="8" s="1"/>
  <c r="F5" i="9" s="1"/>
  <c r="F6" i="2"/>
  <c r="F6" i="3" s="1"/>
  <c r="F6" i="4" s="1"/>
  <c r="F8" i="5" s="1"/>
  <c r="F8" i="6" s="1"/>
  <c r="F6" i="7" s="1"/>
  <c r="F8" i="2"/>
  <c r="F8" i="3" s="1"/>
  <c r="F8" i="4" s="1"/>
  <c r="F10" i="5" s="1"/>
  <c r="F10" i="6" s="1"/>
  <c r="F8" i="7" s="1"/>
  <c r="F8" i="8" s="1"/>
  <c r="F8" i="9" s="1"/>
  <c r="F9" i="2"/>
  <c r="F9" i="3" s="1"/>
  <c r="F9" i="4" s="1"/>
  <c r="F11" i="5" s="1"/>
  <c r="F11" i="6" s="1"/>
  <c r="F9" i="7" s="1"/>
  <c r="F11" i="2"/>
  <c r="F11" i="3" s="1"/>
  <c r="F11" i="4" s="1"/>
  <c r="F13" i="5" s="1"/>
  <c r="F13" i="6" s="1"/>
  <c r="F11" i="7" s="1"/>
  <c r="F11" i="8" s="1"/>
  <c r="F11" i="9" s="1"/>
  <c r="F12" i="2"/>
  <c r="F12" i="3" s="1"/>
  <c r="F12" i="4" s="1"/>
  <c r="F14" i="5" s="1"/>
  <c r="F14" i="6" s="1"/>
  <c r="F12" i="7" s="1"/>
  <c r="F13" i="2"/>
  <c r="F13" i="3" s="1"/>
  <c r="F13" i="4" s="1"/>
  <c r="F15" i="5" s="1"/>
  <c r="F15" i="6" s="1"/>
  <c r="F13" i="7" s="1"/>
  <c r="F13" i="8" s="1"/>
  <c r="F13" i="9" s="1"/>
  <c r="F14" i="2"/>
  <c r="F14" i="3" s="1"/>
  <c r="F14" i="4" s="1"/>
  <c r="F16" i="5" s="1"/>
  <c r="F16" i="6" s="1"/>
  <c r="F14" i="7" s="1"/>
  <c r="F15" i="2"/>
  <c r="F15" i="3" s="1"/>
  <c r="F15" i="4" s="1"/>
  <c r="F17" i="5" s="1"/>
  <c r="F17" i="6" s="1"/>
  <c r="F15" i="7" s="1"/>
  <c r="F15" i="8" s="1"/>
  <c r="F15" i="9" s="1"/>
  <c r="F15" i="11" s="1"/>
  <c r="F15" i="10" s="1"/>
  <c r="F15" i="12" s="1"/>
  <c r="F16" i="13" s="1"/>
  <c r="F16" i="2"/>
  <c r="F16" i="3" s="1"/>
  <c r="F16" i="4" s="1"/>
  <c r="F18" i="5" s="1"/>
  <c r="F18" i="6" s="1"/>
  <c r="F16" i="7" s="1"/>
  <c r="F16" i="8" s="1"/>
  <c r="F16" i="9" s="1"/>
  <c r="F16" i="11" s="1"/>
  <c r="F16" i="10" s="1"/>
  <c r="F16" i="12" s="1"/>
  <c r="F17" i="13" s="1"/>
  <c r="F17" i="2"/>
  <c r="F17" i="3" s="1"/>
  <c r="F17" i="4" s="1"/>
  <c r="F19" i="5" s="1"/>
  <c r="F19" i="6" s="1"/>
  <c r="F17" i="7" s="1"/>
  <c r="F17" i="8" s="1"/>
  <c r="F17" i="9" s="1"/>
  <c r="F17" i="11" s="1"/>
  <c r="F17" i="10" s="1"/>
  <c r="F17" i="12" s="1"/>
  <c r="F18" i="13" s="1"/>
  <c r="F18" i="2"/>
  <c r="F18" i="3" s="1"/>
  <c r="F18" i="4" s="1"/>
  <c r="F20" i="5" s="1"/>
  <c r="F20" i="6" s="1"/>
  <c r="F18" i="7" s="1"/>
  <c r="F18" i="8" s="1"/>
  <c r="F18" i="9" s="1"/>
  <c r="F18" i="11" s="1"/>
  <c r="F18" i="10" s="1"/>
  <c r="F18" i="12" s="1"/>
  <c r="F19" i="13" s="1"/>
  <c r="F19" i="2"/>
  <c r="F19" i="3" s="1"/>
  <c r="F19" i="4" s="1"/>
  <c r="F21" i="5" s="1"/>
  <c r="F21" i="6" s="1"/>
  <c r="F19" i="7" s="1"/>
  <c r="F19" i="8" s="1"/>
  <c r="F19" i="9" s="1"/>
  <c r="F19" i="11" s="1"/>
  <c r="F19" i="10" s="1"/>
  <c r="F19" i="12" s="1"/>
  <c r="F20" i="13" s="1"/>
  <c r="F20" i="2"/>
  <c r="F20" i="3" s="1"/>
  <c r="F20" i="4" s="1"/>
  <c r="F22" i="5" s="1"/>
  <c r="F22" i="6" s="1"/>
  <c r="F20" i="7" s="1"/>
  <c r="F20" i="8" s="1"/>
  <c r="F20" i="9" s="1"/>
  <c r="F20" i="11" s="1"/>
  <c r="F20" i="10" s="1"/>
  <c r="F20" i="12" s="1"/>
  <c r="F21" i="13" s="1"/>
  <c r="F21" i="2"/>
  <c r="F21" i="3" s="1"/>
  <c r="F21" i="4" s="1"/>
  <c r="F23" i="5" s="1"/>
  <c r="F23" i="6" s="1"/>
  <c r="F21" i="7" s="1"/>
  <c r="F21" i="8" s="1"/>
  <c r="F21" i="9" s="1"/>
  <c r="F21" i="11" s="1"/>
  <c r="F21" i="10" s="1"/>
  <c r="F21" i="12" s="1"/>
  <c r="F22" i="13" s="1"/>
  <c r="F22" i="2"/>
  <c r="F22" i="3" s="1"/>
  <c r="F22" i="4" s="1"/>
  <c r="F24" i="5" s="1"/>
  <c r="F24" i="6" s="1"/>
  <c r="F22" i="7" s="1"/>
  <c r="F22" i="8" s="1"/>
  <c r="F22" i="9" s="1"/>
  <c r="F22" i="11" s="1"/>
  <c r="F22" i="10" s="1"/>
  <c r="F22" i="12" s="1"/>
  <c r="F23" i="13" s="1"/>
  <c r="F3" i="2"/>
  <c r="F3" i="3" s="1"/>
  <c r="F3" i="4" s="1"/>
  <c r="F5" i="5" s="1"/>
  <c r="F5" i="6" s="1"/>
  <c r="F3" i="7" s="1"/>
  <c r="F3" i="8" s="1"/>
  <c r="F3" i="9" s="1"/>
  <c r="F3" i="11" s="1"/>
  <c r="F3" i="10" s="1"/>
  <c r="F3" i="12" s="1"/>
  <c r="F4" i="13" s="1"/>
  <c r="D5" i="1"/>
  <c r="D4" i="2"/>
  <c r="D4" i="3"/>
  <c r="D4" i="4" s="1"/>
  <c r="D6" i="5" s="1"/>
  <c r="D6" i="6" s="1"/>
  <c r="D4" i="7" s="1"/>
  <c r="D4" i="8" s="1"/>
  <c r="D4" i="9" s="1"/>
  <c r="D4" i="11" s="1"/>
  <c r="D4" i="10" s="1"/>
  <c r="D4" i="12" s="1"/>
  <c r="D5" i="13" s="1"/>
  <c r="D6" i="1"/>
  <c r="D5" i="2"/>
  <c r="D5" i="3" s="1"/>
  <c r="D5" i="4" s="1"/>
  <c r="D7" i="5" s="1"/>
  <c r="D7" i="6" s="1"/>
  <c r="D5" i="7" s="1"/>
  <c r="D5" i="8" s="1"/>
  <c r="D5" i="9" s="1"/>
  <c r="D5" i="11" s="1"/>
  <c r="D5" i="10" s="1"/>
  <c r="D5" i="12" s="1"/>
  <c r="D6" i="13" s="1"/>
  <c r="D7" i="1"/>
  <c r="D6" i="2"/>
  <c r="D6" i="3"/>
  <c r="D6" i="4" s="1"/>
  <c r="D8" i="5" s="1"/>
  <c r="D8" i="6" s="1"/>
  <c r="D6" i="7" s="1"/>
  <c r="D6" i="8" s="1"/>
  <c r="D6" i="9" s="1"/>
  <c r="D6" i="11" s="1"/>
  <c r="D6" i="10" s="1"/>
  <c r="D6" i="12" s="1"/>
  <c r="D7" i="13" s="1"/>
  <c r="D8" i="1"/>
  <c r="D7" i="2"/>
  <c r="D7" i="3" s="1"/>
  <c r="D7" i="4" s="1"/>
  <c r="D9" i="5" s="1"/>
  <c r="D9" i="6" s="1"/>
  <c r="D7" i="7" s="1"/>
  <c r="D7" i="8" s="1"/>
  <c r="D7" i="9" s="1"/>
  <c r="D7" i="11" s="1"/>
  <c r="D7" i="10" s="1"/>
  <c r="D7" i="12" s="1"/>
  <c r="D8" i="13" s="1"/>
  <c r="D9" i="1"/>
  <c r="D8" i="2"/>
  <c r="D8" i="3"/>
  <c r="D8" i="4" s="1"/>
  <c r="D10" i="5" s="1"/>
  <c r="D10" i="6" s="1"/>
  <c r="D8" i="7" s="1"/>
  <c r="D8" i="8" s="1"/>
  <c r="D8" i="9" s="1"/>
  <c r="D8" i="11" s="1"/>
  <c r="D8" i="10" s="1"/>
  <c r="D8" i="12" s="1"/>
  <c r="D9" i="13" s="1"/>
  <c r="D10" i="1"/>
  <c r="D9" i="2"/>
  <c r="D9" i="3" s="1"/>
  <c r="D9" i="4" s="1"/>
  <c r="D11" i="5" s="1"/>
  <c r="D11" i="6" s="1"/>
  <c r="D9" i="7" s="1"/>
  <c r="D9" i="8" s="1"/>
  <c r="D9" i="9" s="1"/>
  <c r="D9" i="11" s="1"/>
  <c r="D9" i="10" s="1"/>
  <c r="D9" i="12" s="1"/>
  <c r="D10" i="13" s="1"/>
  <c r="D11" i="1"/>
  <c r="D10" i="2"/>
  <c r="D10" i="3"/>
  <c r="D10" i="4" s="1"/>
  <c r="D12" i="5" s="1"/>
  <c r="D12" i="6" s="1"/>
  <c r="D10" i="7" s="1"/>
  <c r="D10" i="8" s="1"/>
  <c r="D10" i="9" s="1"/>
  <c r="D10" i="11" s="1"/>
  <c r="D10" i="10" s="1"/>
  <c r="D12" i="1"/>
  <c r="D11" i="2"/>
  <c r="D11" i="3" s="1"/>
  <c r="D11" i="4" s="1"/>
  <c r="D13" i="5" s="1"/>
  <c r="D13" i="6" s="1"/>
  <c r="D11" i="7" s="1"/>
  <c r="D11" i="8" s="1"/>
  <c r="D11" i="9" s="1"/>
  <c r="D11" i="11" s="1"/>
  <c r="D11" i="10" s="1"/>
  <c r="D11" i="12" s="1"/>
  <c r="D12" i="13" s="1"/>
  <c r="D13" i="1"/>
  <c r="D12" i="2"/>
  <c r="D12" i="3"/>
  <c r="D12" i="4" s="1"/>
  <c r="D14" i="5" s="1"/>
  <c r="D14" i="6" s="1"/>
  <c r="D12" i="7" s="1"/>
  <c r="D12" i="8" s="1"/>
  <c r="D12" i="9" s="1"/>
  <c r="D12" i="11" s="1"/>
  <c r="D12" i="10" s="1"/>
  <c r="D12" i="12" s="1"/>
  <c r="D13" i="13" s="1"/>
  <c r="D14" i="1"/>
  <c r="D13" i="2"/>
  <c r="D13" i="3" s="1"/>
  <c r="D13" i="4" s="1"/>
  <c r="D15" i="5" s="1"/>
  <c r="D15" i="6" s="1"/>
  <c r="D13" i="7" s="1"/>
  <c r="D13" i="8" s="1"/>
  <c r="D13" i="9" s="1"/>
  <c r="D13" i="11" s="1"/>
  <c r="D13" i="10" s="1"/>
  <c r="D13" i="12" s="1"/>
  <c r="D14" i="13" s="1"/>
  <c r="D15" i="1"/>
  <c r="D14" i="2"/>
  <c r="D14" i="3"/>
  <c r="D14" i="4" s="1"/>
  <c r="D16" i="5" s="1"/>
  <c r="D16" i="6" s="1"/>
  <c r="D14" i="7" s="1"/>
  <c r="D14" i="8" s="1"/>
  <c r="D14" i="9" s="1"/>
  <c r="D14" i="11" s="1"/>
  <c r="D14" i="10" s="1"/>
  <c r="D14" i="12" s="1"/>
  <c r="D16" i="1"/>
  <c r="D15" i="2"/>
  <c r="D15" i="3"/>
  <c r="D15" i="4" s="1"/>
  <c r="D17" i="5" s="1"/>
  <c r="D17" i="1"/>
  <c r="D16" i="2"/>
  <c r="D16" i="3" s="1"/>
  <c r="D16" i="4" s="1"/>
  <c r="D18" i="1"/>
  <c r="D17" i="2"/>
  <c r="D17" i="3" s="1"/>
  <c r="D17" i="4" s="1"/>
  <c r="D19" i="5" s="1"/>
  <c r="D19" i="1"/>
  <c r="D18" i="2"/>
  <c r="D18" i="3"/>
  <c r="D18" i="4" s="1"/>
  <c r="D4" i="1"/>
  <c r="D3" i="2"/>
  <c r="D3" i="3"/>
  <c r="D3" i="4" s="1"/>
  <c r="J5" i="1"/>
  <c r="J4" i="2"/>
  <c r="J7" i="5"/>
  <c r="J7" i="6"/>
  <c r="J5" i="7" s="1"/>
  <c r="J5" i="8" s="1"/>
  <c r="J5" i="9" s="1"/>
  <c r="J5" i="11" s="1"/>
  <c r="J5" i="10" s="1"/>
  <c r="J5" i="12" s="1"/>
  <c r="J6" i="13" s="1"/>
  <c r="J7" i="1"/>
  <c r="J6" i="2"/>
  <c r="J6" i="3" s="1"/>
  <c r="J6" i="4" s="1"/>
  <c r="J8" i="5" s="1"/>
  <c r="J8" i="6" s="1"/>
  <c r="J6" i="7" s="1"/>
  <c r="J6" i="8" s="1"/>
  <c r="J6" i="9" s="1"/>
  <c r="J6" i="11" s="1"/>
  <c r="J6" i="10" s="1"/>
  <c r="J6" i="12" s="1"/>
  <c r="J7" i="13" s="1"/>
  <c r="J8" i="1"/>
  <c r="J7" i="2"/>
  <c r="J7" i="3" s="1"/>
  <c r="J7" i="4" s="1"/>
  <c r="J9" i="5" s="1"/>
  <c r="J9" i="6" s="1"/>
  <c r="J7" i="7" s="1"/>
  <c r="J7" i="8" s="1"/>
  <c r="J7" i="9" s="1"/>
  <c r="J7" i="11" s="1"/>
  <c r="J7" i="10" s="1"/>
  <c r="J7" i="12" s="1"/>
  <c r="J8" i="13" s="1"/>
  <c r="J9" i="1"/>
  <c r="J8" i="2"/>
  <c r="J8" i="3" s="1"/>
  <c r="J8" i="4" s="1"/>
  <c r="J10" i="5" s="1"/>
  <c r="J10" i="6" s="1"/>
  <c r="J8" i="7" s="1"/>
  <c r="J8" i="8" s="1"/>
  <c r="J8" i="9" s="1"/>
  <c r="J8" i="11" s="1"/>
  <c r="J8" i="10" s="1"/>
  <c r="J8" i="12" s="1"/>
  <c r="J9" i="13" s="1"/>
  <c r="J10" i="1"/>
  <c r="J9" i="2"/>
  <c r="J9" i="3" s="1"/>
  <c r="J9" i="4" s="1"/>
  <c r="J11" i="5" s="1"/>
  <c r="J11" i="6" s="1"/>
  <c r="J9" i="7" s="1"/>
  <c r="J9" i="8" s="1"/>
  <c r="J9" i="9" s="1"/>
  <c r="J9" i="11" s="1"/>
  <c r="J9" i="10" s="1"/>
  <c r="J9" i="12" s="1"/>
  <c r="J10" i="13" s="1"/>
  <c r="J11" i="1"/>
  <c r="J10" i="2"/>
  <c r="J10" i="3" s="1"/>
  <c r="J10" i="4" s="1"/>
  <c r="J12" i="5" s="1"/>
  <c r="J12" i="6" s="1"/>
  <c r="J10" i="7" s="1"/>
  <c r="J10" i="8" s="1"/>
  <c r="J10" i="9" s="1"/>
  <c r="J10" i="11" s="1"/>
  <c r="J10" i="10" s="1"/>
  <c r="J10" i="12" s="1"/>
  <c r="J11" i="13" s="1"/>
  <c r="J12" i="1"/>
  <c r="J11" i="2"/>
  <c r="J11" i="3" s="1"/>
  <c r="J11" i="4" s="1"/>
  <c r="J13" i="5" s="1"/>
  <c r="J13" i="6" s="1"/>
  <c r="J11" i="7" s="1"/>
  <c r="J11" i="8" s="1"/>
  <c r="J11" i="9" s="1"/>
  <c r="J11" i="11" s="1"/>
  <c r="J11" i="10" s="1"/>
  <c r="J11" i="12" s="1"/>
  <c r="J12" i="13" s="1"/>
  <c r="J13" i="1"/>
  <c r="J12" i="2"/>
  <c r="J12" i="3" s="1"/>
  <c r="J12" i="4" s="1"/>
  <c r="J14" i="5" s="1"/>
  <c r="J14" i="6" s="1"/>
  <c r="J12" i="7" s="1"/>
  <c r="J12" i="8" s="1"/>
  <c r="J12" i="9" s="1"/>
  <c r="J12" i="11" s="1"/>
  <c r="J12" i="10" s="1"/>
  <c r="J12" i="12" s="1"/>
  <c r="J13" i="13" s="1"/>
  <c r="J14" i="1"/>
  <c r="J13" i="2"/>
  <c r="J13" i="3" s="1"/>
  <c r="J13" i="4" s="1"/>
  <c r="J15" i="5" s="1"/>
  <c r="J15" i="6" s="1"/>
  <c r="J13" i="7" s="1"/>
  <c r="J13" i="8" s="1"/>
  <c r="J13" i="9" s="1"/>
  <c r="J13" i="11" s="1"/>
  <c r="J13" i="10" s="1"/>
  <c r="J13" i="12" s="1"/>
  <c r="J14" i="13" s="1"/>
  <c r="J15" i="1"/>
  <c r="J14" i="2"/>
  <c r="J14" i="3" s="1"/>
  <c r="J14" i="4" s="1"/>
  <c r="J16" i="5" s="1"/>
  <c r="J16" i="6" s="1"/>
  <c r="J14" i="7" s="1"/>
  <c r="J14" i="8" s="1"/>
  <c r="J14" i="9" s="1"/>
  <c r="J14" i="11" s="1"/>
  <c r="J14" i="10" s="1"/>
  <c r="J14" i="12" s="1"/>
  <c r="J15" i="13" s="1"/>
  <c r="J16" i="1"/>
  <c r="J15" i="2"/>
  <c r="J15" i="3" s="1"/>
  <c r="J15" i="4" s="1"/>
  <c r="J17" i="5" s="1"/>
  <c r="J17" i="6" s="1"/>
  <c r="J15" i="7" s="1"/>
  <c r="J15" i="8" s="1"/>
  <c r="J15" i="9" s="1"/>
  <c r="J15" i="11" s="1"/>
  <c r="J15" i="10" s="1"/>
  <c r="J15" i="12" s="1"/>
  <c r="J16" i="13" s="1"/>
  <c r="C25" i="5"/>
  <c r="J6" i="1"/>
  <c r="J5" i="2"/>
  <c r="K23" i="14"/>
  <c r="J4"/>
  <c r="J6"/>
  <c r="J8"/>
  <c r="J10"/>
  <c r="J12"/>
  <c r="J14"/>
  <c r="I23"/>
  <c r="F3"/>
  <c r="D3"/>
  <c r="H3"/>
  <c r="F4"/>
  <c r="D4"/>
  <c r="H4" s="1"/>
  <c r="F5"/>
  <c r="D5"/>
  <c r="H5"/>
  <c r="F6"/>
  <c r="D6"/>
  <c r="H6"/>
  <c r="F7"/>
  <c r="D7"/>
  <c r="H7" s="1"/>
  <c r="F8"/>
  <c r="F23" s="1"/>
  <c r="D8"/>
  <c r="H8"/>
  <c r="F9"/>
  <c r="D9"/>
  <c r="H9" s="1"/>
  <c r="F10"/>
  <c r="D10"/>
  <c r="H10"/>
  <c r="F11"/>
  <c r="D11"/>
  <c r="H11" s="1"/>
  <c r="F12"/>
  <c r="D12"/>
  <c r="H12"/>
  <c r="F13"/>
  <c r="D13"/>
  <c r="H13" s="1"/>
  <c r="F14"/>
  <c r="D14"/>
  <c r="H14"/>
  <c r="F15"/>
  <c r="D15"/>
  <c r="H15" s="1"/>
  <c r="F16"/>
  <c r="D16"/>
  <c r="H16"/>
  <c r="F17"/>
  <c r="D17"/>
  <c r="H17" s="1"/>
  <c r="F18"/>
  <c r="D18"/>
  <c r="H18"/>
  <c r="F19"/>
  <c r="F20"/>
  <c r="F21"/>
  <c r="F22"/>
  <c r="E3"/>
  <c r="C3"/>
  <c r="G3"/>
  <c r="E4"/>
  <c r="E23" s="1"/>
  <c r="C4"/>
  <c r="G5"/>
  <c r="G6"/>
  <c r="E7"/>
  <c r="C7"/>
  <c r="G7"/>
  <c r="G8"/>
  <c r="G9"/>
  <c r="E10"/>
  <c r="C10"/>
  <c r="G10"/>
  <c r="E11"/>
  <c r="C11"/>
  <c r="G11"/>
  <c r="G12"/>
  <c r="E13"/>
  <c r="C13"/>
  <c r="G13"/>
  <c r="E14"/>
  <c r="C14"/>
  <c r="G14"/>
  <c r="G15"/>
  <c r="G16"/>
  <c r="G17"/>
  <c r="G18"/>
  <c r="G19"/>
  <c r="G20"/>
  <c r="G21"/>
  <c r="G22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4" i="13"/>
  <c r="I2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K23" i="12"/>
  <c r="I23"/>
  <c r="G3"/>
  <c r="G4"/>
  <c r="G5"/>
  <c r="G6"/>
  <c r="G7"/>
  <c r="G8"/>
  <c r="G9"/>
  <c r="G10"/>
  <c r="G11"/>
  <c r="G12"/>
  <c r="G13"/>
  <c r="G14"/>
  <c r="G15"/>
  <c r="G16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0"/>
  <c r="I23"/>
  <c r="G3"/>
  <c r="G4"/>
  <c r="G2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11"/>
  <c r="I23"/>
  <c r="G3"/>
  <c r="G4"/>
  <c r="G2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9"/>
  <c r="I2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8"/>
  <c r="I23"/>
  <c r="H5"/>
  <c r="H8"/>
  <c r="H11"/>
  <c r="H1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7"/>
  <c r="I23"/>
  <c r="H5"/>
  <c r="H8"/>
  <c r="H11"/>
  <c r="H13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5" i="6"/>
  <c r="I25"/>
  <c r="H7"/>
  <c r="H8"/>
  <c r="H10"/>
  <c r="H11"/>
  <c r="H13"/>
  <c r="H14"/>
  <c r="H15"/>
  <c r="H16"/>
  <c r="G5"/>
  <c r="G6"/>
  <c r="G7"/>
  <c r="G8"/>
  <c r="G25" s="1"/>
  <c r="G9"/>
  <c r="G10"/>
  <c r="G11"/>
  <c r="G12"/>
  <c r="G13"/>
  <c r="G14"/>
  <c r="G15"/>
  <c r="G16"/>
  <c r="G17"/>
  <c r="G18"/>
  <c r="G19"/>
  <c r="G20"/>
  <c r="G21"/>
  <c r="G22"/>
  <c r="G23"/>
  <c r="G24"/>
  <c r="E25"/>
  <c r="C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5" i="5"/>
  <c r="I25"/>
  <c r="H7"/>
  <c r="H8"/>
  <c r="H10"/>
  <c r="H11"/>
  <c r="H13"/>
  <c r="H14"/>
  <c r="H15"/>
  <c r="H16"/>
  <c r="G5"/>
  <c r="G6"/>
  <c r="G25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E2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K23" i="4"/>
  <c r="I23"/>
  <c r="H3"/>
  <c r="H5"/>
  <c r="H6"/>
  <c r="H8"/>
  <c r="H9"/>
  <c r="H11"/>
  <c r="H12"/>
  <c r="H13"/>
  <c r="H14"/>
  <c r="H15"/>
  <c r="H1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3" i="3"/>
  <c r="I23"/>
  <c r="H3"/>
  <c r="H4"/>
  <c r="H5"/>
  <c r="H6"/>
  <c r="H7"/>
  <c r="H8"/>
  <c r="H9"/>
  <c r="H10"/>
  <c r="H11"/>
  <c r="H12"/>
  <c r="H13"/>
  <c r="H14"/>
  <c r="H15"/>
  <c r="H16"/>
  <c r="H17"/>
  <c r="H18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F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G4" i="2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G20"/>
  <c r="G21"/>
  <c r="G22"/>
  <c r="L5" i="1"/>
  <c r="L6"/>
  <c r="L7"/>
  <c r="L6" i="2"/>
  <c r="L8" i="1"/>
  <c r="L9"/>
  <c r="L10"/>
  <c r="L11"/>
  <c r="L10" i="2"/>
  <c r="L10" i="3" s="1"/>
  <c r="L10" i="4" s="1"/>
  <c r="L12" i="5" s="1"/>
  <c r="L12" i="6" s="1"/>
  <c r="L10" i="7" s="1"/>
  <c r="L10" i="8" s="1"/>
  <c r="L10" i="9" s="1"/>
  <c r="L10" i="11" s="1"/>
  <c r="L10" i="10" s="1"/>
  <c r="L10" i="12" s="1"/>
  <c r="L11" i="13" s="1"/>
  <c r="L12" i="1"/>
  <c r="L11" i="2"/>
  <c r="L11" i="3"/>
  <c r="L11" i="4" s="1"/>
  <c r="L13" i="5" s="1"/>
  <c r="L13" i="6" s="1"/>
  <c r="L11" i="7" s="1"/>
  <c r="L11" i="8" s="1"/>
  <c r="L11" i="9" s="1"/>
  <c r="L11" i="11" s="1"/>
  <c r="L11" i="10" s="1"/>
  <c r="L11" i="12" s="1"/>
  <c r="L12" i="13" s="1"/>
  <c r="L13" i="1"/>
  <c r="L14"/>
  <c r="L15"/>
  <c r="L16"/>
  <c r="L17"/>
  <c r="L18"/>
  <c r="L19"/>
  <c r="L20"/>
  <c r="L21"/>
  <c r="L22"/>
  <c r="L23"/>
  <c r="L22" i="2"/>
  <c r="L22" i="3" s="1"/>
  <c r="L22" i="4" s="1"/>
  <c r="L24" i="5" s="1"/>
  <c r="L24" i="6" s="1"/>
  <c r="L22" i="7" s="1"/>
  <c r="L22" i="8" s="1"/>
  <c r="L22" i="9" s="1"/>
  <c r="L22" i="11" s="1"/>
  <c r="L22" i="10" s="1"/>
  <c r="L22" i="12" s="1"/>
  <c r="L23" i="13" s="1"/>
  <c r="J17" i="1"/>
  <c r="J18"/>
  <c r="J17" i="2"/>
  <c r="J17" i="3" s="1"/>
  <c r="J17" i="4" s="1"/>
  <c r="J19" i="5" s="1"/>
  <c r="J19" i="6" s="1"/>
  <c r="J17" i="7" s="1"/>
  <c r="J17" i="8" s="1"/>
  <c r="J17" i="9" s="1"/>
  <c r="J17" i="11" s="1"/>
  <c r="J17" i="10" s="1"/>
  <c r="J17" i="12" s="1"/>
  <c r="J18" i="13" s="1"/>
  <c r="J19" i="1"/>
  <c r="J18" i="14"/>
  <c r="J20" i="1"/>
  <c r="J21"/>
  <c r="J20" i="2"/>
  <c r="J20" i="3"/>
  <c r="J20" i="4" s="1"/>
  <c r="J22" i="5" s="1"/>
  <c r="J22" i="6" s="1"/>
  <c r="J20" i="7" s="1"/>
  <c r="J20" i="8" s="1"/>
  <c r="J20" i="9" s="1"/>
  <c r="J20" i="11" s="1"/>
  <c r="J20" i="10" s="1"/>
  <c r="J20" i="12" s="1"/>
  <c r="J21" i="13" s="1"/>
  <c r="J22" i="1"/>
  <c r="J23"/>
  <c r="J22" i="14"/>
  <c r="F5" i="1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F19"/>
  <c r="H19"/>
  <c r="F20"/>
  <c r="H20"/>
  <c r="F21"/>
  <c r="H21"/>
  <c r="F22"/>
  <c r="H22"/>
  <c r="F23"/>
  <c r="H23"/>
  <c r="D20"/>
  <c r="D24"/>
  <c r="D21"/>
  <c r="D22"/>
  <c r="D21" i="14"/>
  <c r="D23" i="1"/>
  <c r="K23" i="2"/>
  <c r="I23"/>
  <c r="H3"/>
  <c r="G3"/>
  <c r="G23"/>
  <c r="F23"/>
  <c r="E23"/>
  <c r="C2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K24" i="1"/>
  <c r="J24"/>
  <c r="I24"/>
  <c r="F4"/>
  <c r="H4"/>
  <c r="G4"/>
  <c r="G24"/>
  <c r="E24"/>
  <c r="C2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L4"/>
  <c r="L24"/>
  <c r="J4"/>
  <c r="G17" i="12"/>
  <c r="G23" s="1"/>
  <c r="D10"/>
  <c r="D11" i="13" s="1"/>
  <c r="D20" i="2"/>
  <c r="D20" i="14"/>
  <c r="H20"/>
  <c r="J21" i="2"/>
  <c r="J21" i="3"/>
  <c r="J21" i="4" s="1"/>
  <c r="J23" i="5" s="1"/>
  <c r="J23" i="6" s="1"/>
  <c r="J21" i="7" s="1"/>
  <c r="J21" i="8" s="1"/>
  <c r="J21" i="9" s="1"/>
  <c r="J21" i="11" s="1"/>
  <c r="J21" i="10" s="1"/>
  <c r="J21" i="12" s="1"/>
  <c r="J22" i="13" s="1"/>
  <c r="J21" i="14"/>
  <c r="J19" i="2"/>
  <c r="J19" i="3"/>
  <c r="J19" i="4" s="1"/>
  <c r="J21" i="5" s="1"/>
  <c r="J21" i="6" s="1"/>
  <c r="J19" i="7" s="1"/>
  <c r="J19" i="8" s="1"/>
  <c r="J19" i="9" s="1"/>
  <c r="J19" i="11" s="1"/>
  <c r="J19" i="10" s="1"/>
  <c r="J19" i="12" s="1"/>
  <c r="J20" i="13" s="1"/>
  <c r="J19" i="14"/>
  <c r="J3" i="2"/>
  <c r="J3" i="14"/>
  <c r="D21" i="2"/>
  <c r="H21"/>
  <c r="D19" i="14"/>
  <c r="H19"/>
  <c r="J22" i="2"/>
  <c r="J22" i="3"/>
  <c r="J22" i="4" s="1"/>
  <c r="J24" i="5" s="1"/>
  <c r="J24" i="6" s="1"/>
  <c r="J22" i="7" s="1"/>
  <c r="J22" i="8" s="1"/>
  <c r="J22" i="9" s="1"/>
  <c r="J22" i="11" s="1"/>
  <c r="J22" i="10" s="1"/>
  <c r="J22" i="12" s="1"/>
  <c r="J23" i="13" s="1"/>
  <c r="J20" i="14"/>
  <c r="J18" i="2"/>
  <c r="J18" i="3"/>
  <c r="J18" i="4" s="1"/>
  <c r="J20" i="5" s="1"/>
  <c r="J20" i="6" s="1"/>
  <c r="J18" i="7" s="1"/>
  <c r="J18" i="8" s="1"/>
  <c r="J18" i="9" s="1"/>
  <c r="J18" i="11" s="1"/>
  <c r="J18" i="10" s="1"/>
  <c r="J18" i="12" s="1"/>
  <c r="J19" i="13" s="1"/>
  <c r="J16" i="2"/>
  <c r="J16" i="3" s="1"/>
  <c r="J16" i="4" s="1"/>
  <c r="J18" i="5" s="1"/>
  <c r="J18" i="6" s="1"/>
  <c r="J16" i="7" s="1"/>
  <c r="J16" i="8" s="1"/>
  <c r="J16" i="9" s="1"/>
  <c r="J16" i="11" s="1"/>
  <c r="J16" i="10" s="1"/>
  <c r="J16" i="12" s="1"/>
  <c r="J17" i="13" s="1"/>
  <c r="J16" i="14"/>
  <c r="L21" i="2"/>
  <c r="L21" i="3" s="1"/>
  <c r="L21" i="4" s="1"/>
  <c r="L23" i="5" s="1"/>
  <c r="L23" i="6" s="1"/>
  <c r="L21" i="7" s="1"/>
  <c r="L21" i="8" s="1"/>
  <c r="L21" i="9" s="1"/>
  <c r="L21" i="11" s="1"/>
  <c r="L21" i="10" s="1"/>
  <c r="L21" i="12" s="1"/>
  <c r="L22" i="13" s="1"/>
  <c r="L19" i="2"/>
  <c r="L19" i="3" s="1"/>
  <c r="L19" i="4" s="1"/>
  <c r="L21" i="5" s="1"/>
  <c r="L21" i="6" s="1"/>
  <c r="L19" i="7" s="1"/>
  <c r="L19" i="8" s="1"/>
  <c r="L19" i="9" s="1"/>
  <c r="L19" i="11" s="1"/>
  <c r="L19" i="10" s="1"/>
  <c r="L19" i="12" s="1"/>
  <c r="L20" i="13" s="1"/>
  <c r="L17" i="2"/>
  <c r="L17" i="3" s="1"/>
  <c r="L17" i="4" s="1"/>
  <c r="L19" i="5" s="1"/>
  <c r="L19" i="6" s="1"/>
  <c r="L17" i="7" s="1"/>
  <c r="L17" i="8" s="1"/>
  <c r="L17" i="9" s="1"/>
  <c r="L17" i="11" s="1"/>
  <c r="L17" i="10" s="1"/>
  <c r="L17" i="12" s="1"/>
  <c r="L18" i="13" s="1"/>
  <c r="L15" i="2"/>
  <c r="L15" i="3" s="1"/>
  <c r="L15" i="4" s="1"/>
  <c r="L17" i="5" s="1"/>
  <c r="L17" i="6" s="1"/>
  <c r="L15" i="7" s="1"/>
  <c r="L15" i="8" s="1"/>
  <c r="L15" i="9" s="1"/>
  <c r="L15" i="11" s="1"/>
  <c r="L15" i="10" s="1"/>
  <c r="L15" i="12" s="1"/>
  <c r="L16" i="13" s="1"/>
  <c r="L13" i="2"/>
  <c r="L13" i="3" s="1"/>
  <c r="L13" i="4" s="1"/>
  <c r="L15" i="5" s="1"/>
  <c r="L15" i="6" s="1"/>
  <c r="L13" i="7" s="1"/>
  <c r="L13" i="8" s="1"/>
  <c r="L13" i="9" s="1"/>
  <c r="L13" i="11" s="1"/>
  <c r="L13" i="10" s="1"/>
  <c r="L13" i="12" s="1"/>
  <c r="L14" i="13" s="1"/>
  <c r="L9" i="2"/>
  <c r="L9" i="3" s="1"/>
  <c r="L9" i="4" s="1"/>
  <c r="L11" i="5" s="1"/>
  <c r="L11" i="6" s="1"/>
  <c r="L9" i="7" s="1"/>
  <c r="L9" i="8" s="1"/>
  <c r="L9" i="9" s="1"/>
  <c r="L9" i="11" s="1"/>
  <c r="L9" i="10" s="1"/>
  <c r="L9" i="12" s="1"/>
  <c r="L10" i="13" s="1"/>
  <c r="L7" i="2"/>
  <c r="L7" i="3" s="1"/>
  <c r="L7" i="4" s="1"/>
  <c r="L9" i="5" s="1"/>
  <c r="L9" i="6" s="1"/>
  <c r="L7" i="7" s="1"/>
  <c r="L7" i="8" s="1"/>
  <c r="L7" i="9" s="1"/>
  <c r="L7" i="11" s="1"/>
  <c r="L7" i="10" s="1"/>
  <c r="L7" i="12" s="1"/>
  <c r="L8" i="13" s="1"/>
  <c r="L5" i="2"/>
  <c r="L5" i="3" s="1"/>
  <c r="L5" i="4" s="1"/>
  <c r="L7" i="5" s="1"/>
  <c r="L7" i="6" s="1"/>
  <c r="L5" i="7" s="1"/>
  <c r="L5" i="8" s="1"/>
  <c r="L5" i="9" s="1"/>
  <c r="L5" i="11" s="1"/>
  <c r="L5" i="10" s="1"/>
  <c r="L5" i="12" s="1"/>
  <c r="L6" i="13" s="1"/>
  <c r="D5" i="5"/>
  <c r="D5" i="6" s="1"/>
  <c r="D3" i="7" s="1"/>
  <c r="H3" s="1"/>
  <c r="D18" i="5"/>
  <c r="H18" s="1"/>
  <c r="H16" i="4"/>
  <c r="D17" i="6"/>
  <c r="D15" i="7" s="1"/>
  <c r="D15" i="8" s="1"/>
  <c r="H17" i="5"/>
  <c r="G23" i="3"/>
  <c r="G23" i="4"/>
  <c r="G23" i="7"/>
  <c r="G23" i="9"/>
  <c r="L3" i="14"/>
  <c r="L23" s="1"/>
  <c r="L3" i="2"/>
  <c r="L3" i="3" s="1"/>
  <c r="D22" i="2"/>
  <c r="D22" i="3" s="1"/>
  <c r="D22" i="14"/>
  <c r="H22"/>
  <c r="H23" s="1"/>
  <c r="D20" i="5"/>
  <c r="H20"/>
  <c r="H18" i="4"/>
  <c r="D19" i="6"/>
  <c r="H19" s="1"/>
  <c r="H19" i="5"/>
  <c r="D15" i="13"/>
  <c r="L4" i="2"/>
  <c r="L4" i="3"/>
  <c r="J17" i="14"/>
  <c r="J15"/>
  <c r="J13"/>
  <c r="J11"/>
  <c r="J9"/>
  <c r="J7"/>
  <c r="F4" i="4"/>
  <c r="H4"/>
  <c r="F7"/>
  <c r="F10"/>
  <c r="H10" s="1"/>
  <c r="L20" i="2"/>
  <c r="L20" i="3" s="1"/>
  <c r="L20" i="4" s="1"/>
  <c r="L22" i="5" s="1"/>
  <c r="L22" i="6" s="1"/>
  <c r="L20" i="7" s="1"/>
  <c r="L20" i="8" s="1"/>
  <c r="L20" i="9" s="1"/>
  <c r="L20" i="11" s="1"/>
  <c r="L20" i="10" s="1"/>
  <c r="L20" i="12" s="1"/>
  <c r="L21" i="13" s="1"/>
  <c r="L18" i="2"/>
  <c r="L18" i="3" s="1"/>
  <c r="L18" i="4" s="1"/>
  <c r="L20" i="5" s="1"/>
  <c r="L20" i="6" s="1"/>
  <c r="L18" i="7" s="1"/>
  <c r="L18" i="8" s="1"/>
  <c r="L18" i="9" s="1"/>
  <c r="L18" i="11" s="1"/>
  <c r="L18" i="10" s="1"/>
  <c r="L18" i="12" s="1"/>
  <c r="L19" i="13" s="1"/>
  <c r="L16" i="2"/>
  <c r="L16" i="3" s="1"/>
  <c r="L16" i="4" s="1"/>
  <c r="L18" i="5" s="1"/>
  <c r="L18" i="6" s="1"/>
  <c r="L16" i="7" s="1"/>
  <c r="L16" i="8" s="1"/>
  <c r="L16" i="9" s="1"/>
  <c r="L16" i="11" s="1"/>
  <c r="L16" i="10" s="1"/>
  <c r="L16" i="12" s="1"/>
  <c r="L17" i="13" s="1"/>
  <c r="L14" i="2"/>
  <c r="L14" i="3" s="1"/>
  <c r="L14" i="4" s="1"/>
  <c r="L16" i="5" s="1"/>
  <c r="L16" i="6" s="1"/>
  <c r="L14" i="7" s="1"/>
  <c r="L14" i="8" s="1"/>
  <c r="L14" i="9" s="1"/>
  <c r="L14" i="11"/>
  <c r="L14" i="10" s="1"/>
  <c r="L14" i="12" s="1"/>
  <c r="L15" i="13" s="1"/>
  <c r="L12" i="2"/>
  <c r="L12" i="3" s="1"/>
  <c r="L12" i="4" s="1"/>
  <c r="L14" i="5" s="1"/>
  <c r="L14" i="6" s="1"/>
  <c r="L12" i="7" s="1"/>
  <c r="L12" i="8" s="1"/>
  <c r="L12" i="9" s="1"/>
  <c r="L12" i="11" s="1"/>
  <c r="L12" i="10" s="1"/>
  <c r="L12" i="12" s="1"/>
  <c r="L13" i="13" s="1"/>
  <c r="L8" i="2"/>
  <c r="L8" i="3" s="1"/>
  <c r="L8" i="4" s="1"/>
  <c r="F12" i="5"/>
  <c r="F6"/>
  <c r="F23" i="4"/>
  <c r="H17" i="6"/>
  <c r="D21" i="3"/>
  <c r="F9" i="5"/>
  <c r="F9" i="6" s="1"/>
  <c r="F7" i="7" s="1"/>
  <c r="H7" i="4"/>
  <c r="D20" i="6"/>
  <c r="H20"/>
  <c r="H22" i="3"/>
  <c r="J3"/>
  <c r="D20"/>
  <c r="D20" i="4"/>
  <c r="D22" i="5" s="1"/>
  <c r="D22" i="6" s="1"/>
  <c r="H22" s="1"/>
  <c r="H20" i="2"/>
  <c r="D18" i="6"/>
  <c r="D16" i="7" s="1"/>
  <c r="H18" i="6"/>
  <c r="H15" i="7"/>
  <c r="H20" i="3"/>
  <c r="D22" i="4"/>
  <c r="D24" i="5" s="1"/>
  <c r="H24" s="1"/>
  <c r="D18" i="7"/>
  <c r="H9" i="5"/>
  <c r="F6" i="6"/>
  <c r="F4" i="7" s="1"/>
  <c r="H6" i="6"/>
  <c r="H22" i="4"/>
  <c r="L4"/>
  <c r="L6" i="5" s="1"/>
  <c r="M4" i="2"/>
  <c r="J4" i="3"/>
  <c r="M4"/>
  <c r="J4" i="4"/>
  <c r="J6" i="5"/>
  <c r="J6" i="6"/>
  <c r="J4" i="7" s="1"/>
  <c r="J4" i="8" s="1"/>
  <c r="J4" i="9" s="1"/>
  <c r="J4" i="11" s="1"/>
  <c r="J4" i="10" s="1"/>
  <c r="J4" i="12" s="1"/>
  <c r="J5" i="13" s="1"/>
  <c r="G24"/>
  <c r="H20" i="4"/>
  <c r="L3"/>
  <c r="L5" i="5" s="1"/>
  <c r="L5" i="6" s="1"/>
  <c r="L3" i="7" s="1"/>
  <c r="H5" i="6"/>
  <c r="D24"/>
  <c r="D22" i="7" s="1"/>
  <c r="H22" s="1"/>
  <c r="H9" i="6"/>
  <c r="H21" i="14"/>
  <c r="D23"/>
  <c r="L6" i="3"/>
  <c r="L6" i="4"/>
  <c r="L8" i="5" s="1"/>
  <c r="L8" i="6" s="1"/>
  <c r="L6" i="7" s="1"/>
  <c r="L6" i="8" s="1"/>
  <c r="L6" i="9" s="1"/>
  <c r="L6" i="11" s="1"/>
  <c r="L6" i="10" s="1"/>
  <c r="L6" i="12" s="1"/>
  <c r="L7" i="13" s="1"/>
  <c r="L23" i="2"/>
  <c r="J5" i="3"/>
  <c r="J23" i="2"/>
  <c r="H24" i="1"/>
  <c r="F24"/>
  <c r="D19" i="2"/>
  <c r="J5" i="14"/>
  <c r="J23" s="1"/>
  <c r="D19" i="3"/>
  <c r="H19" i="2"/>
  <c r="H7" i="7"/>
  <c r="F7" i="8"/>
  <c r="F7" i="9" s="1"/>
  <c r="H7" s="1"/>
  <c r="H22" i="5"/>
  <c r="D3" i="8"/>
  <c r="D3" i="9" s="1"/>
  <c r="D3" i="11" s="1"/>
  <c r="H3" s="1"/>
  <c r="L23" i="3"/>
  <c r="H3" i="8"/>
  <c r="D22"/>
  <c r="H22" s="1"/>
  <c r="D20" i="7"/>
  <c r="D20" i="8" s="1"/>
  <c r="D19" i="4"/>
  <c r="H20" i="7"/>
  <c r="H19" i="4"/>
  <c r="D21" i="5"/>
  <c r="D21" i="6" s="1"/>
  <c r="F7" i="11"/>
  <c r="F7" i="10" s="1"/>
  <c r="D22" i="9"/>
  <c r="H3"/>
  <c r="D3" i="10"/>
  <c r="D3" i="12" s="1"/>
  <c r="D22" i="11"/>
  <c r="H22" i="9"/>
  <c r="H7" i="11"/>
  <c r="H21" i="5"/>
  <c r="D20" i="9"/>
  <c r="H20" i="8"/>
  <c r="L3"/>
  <c r="L3" i="9" s="1"/>
  <c r="H20"/>
  <c r="D20" i="11"/>
  <c r="D20" i="10" s="1"/>
  <c r="D22"/>
  <c r="H22" i="11"/>
  <c r="H3" i="10"/>
  <c r="H22"/>
  <c r="D22" i="12"/>
  <c r="D23" i="13" s="1"/>
  <c r="H23" s="1"/>
  <c r="H20" i="11"/>
  <c r="H20" i="10" l="1"/>
  <c r="D20" i="12"/>
  <c r="L3" i="11"/>
  <c r="H7" i="10"/>
  <c r="F7" i="12"/>
  <c r="D16" i="8"/>
  <c r="H16" i="7"/>
  <c r="H3" i="12"/>
  <c r="D4" i="13"/>
  <c r="H21" i="6"/>
  <c r="D19" i="7"/>
  <c r="H4"/>
  <c r="F4" i="8"/>
  <c r="L10" i="5"/>
  <c r="L23" i="4"/>
  <c r="H19" i="3"/>
  <c r="D23"/>
  <c r="J3" i="4"/>
  <c r="J23" i="3"/>
  <c r="H6" i="5"/>
  <c r="F25"/>
  <c r="D15" i="9"/>
  <c r="H15" i="8"/>
  <c r="H22" i="12"/>
  <c r="H7" i="8"/>
  <c r="H24" i="6"/>
  <c r="M4" i="4"/>
  <c r="L6" i="6"/>
  <c r="M6" i="5"/>
  <c r="D18" i="8"/>
  <c r="H18" i="7"/>
  <c r="H21" i="3"/>
  <c r="D21" i="4"/>
  <c r="F12" i="6"/>
  <c r="H12" i="5"/>
  <c r="F14" i="8"/>
  <c r="H14" i="7"/>
  <c r="F12" i="8"/>
  <c r="H12" i="7"/>
  <c r="F9" i="8"/>
  <c r="H9" i="7"/>
  <c r="F6" i="8"/>
  <c r="H6" i="7"/>
  <c r="D23" i="2"/>
  <c r="H22"/>
  <c r="H23" s="1"/>
  <c r="D17" i="7"/>
  <c r="H5" i="5"/>
  <c r="F13" i="11"/>
  <c r="H13" i="9"/>
  <c r="F11" i="11"/>
  <c r="H11" i="9"/>
  <c r="F8" i="11"/>
  <c r="H8" i="9"/>
  <c r="F5" i="11"/>
  <c r="H5" i="9"/>
  <c r="G4" i="14"/>
  <c r="G23" s="1"/>
  <c r="F8" i="10" l="1"/>
  <c r="H8" i="11"/>
  <c r="F13" i="10"/>
  <c r="H13" i="11"/>
  <c r="H21" i="4"/>
  <c r="H23" s="1"/>
  <c r="D23" i="5"/>
  <c r="D23" i="4"/>
  <c r="D25" i="5" s="1"/>
  <c r="L10" i="6"/>
  <c r="L8" i="7" s="1"/>
  <c r="L8" i="8" s="1"/>
  <c r="L8" i="9" s="1"/>
  <c r="L8" i="11" s="1"/>
  <c r="L8" i="10" s="1"/>
  <c r="L8" i="12" s="1"/>
  <c r="L9" i="13" s="1"/>
  <c r="L25" i="5"/>
  <c r="H19" i="7"/>
  <c r="D19" i="8"/>
  <c r="H4" i="13"/>
  <c r="H16" i="8"/>
  <c r="D16" i="9"/>
  <c r="F5" i="10"/>
  <c r="H5" i="11"/>
  <c r="F11" i="10"/>
  <c r="H11" i="11"/>
  <c r="H17" i="7"/>
  <c r="D17" i="8"/>
  <c r="F6" i="9"/>
  <c r="H6" i="8"/>
  <c r="F9" i="9"/>
  <c r="H9" i="8"/>
  <c r="F12" i="9"/>
  <c r="H12" i="8"/>
  <c r="F14" i="9"/>
  <c r="H14" i="8"/>
  <c r="F10" i="7"/>
  <c r="F25" i="6"/>
  <c r="H12"/>
  <c r="H18" i="8"/>
  <c r="D18" i="9"/>
  <c r="M6" i="6"/>
  <c r="L4" i="7"/>
  <c r="L25" i="6"/>
  <c r="D15" i="11"/>
  <c r="H15" i="9"/>
  <c r="J23" i="4"/>
  <c r="J5" i="5"/>
  <c r="F4" i="9"/>
  <c r="H4" i="8"/>
  <c r="F8" i="13"/>
  <c r="H8" s="1"/>
  <c r="H7" i="12"/>
  <c r="L3" i="10"/>
  <c r="D21" i="13"/>
  <c r="H21" s="1"/>
  <c r="H20" i="12"/>
  <c r="H23" i="3"/>
  <c r="F4" i="11" l="1"/>
  <c r="H4" i="9"/>
  <c r="L3" i="12"/>
  <c r="J25" i="5"/>
  <c r="J5" i="6"/>
  <c r="H15" i="11"/>
  <c r="D15" i="10"/>
  <c r="L4" i="8"/>
  <c r="M4" i="7"/>
  <c r="L23"/>
  <c r="H18" i="9"/>
  <c r="D18" i="11"/>
  <c r="H10" i="7"/>
  <c r="F10" i="8"/>
  <c r="F23" i="7"/>
  <c r="F14" i="11"/>
  <c r="H14" i="9"/>
  <c r="H12"/>
  <c r="F12" i="11"/>
  <c r="H9" i="9"/>
  <c r="F9" i="11"/>
  <c r="H6" i="9"/>
  <c r="F6" i="11"/>
  <c r="F11" i="12"/>
  <c r="H11" i="10"/>
  <c r="F5" i="12"/>
  <c r="H5" i="10"/>
  <c r="D23" i="6"/>
  <c r="H23" i="5"/>
  <c r="H25" s="1"/>
  <c r="D17" i="9"/>
  <c r="H17" i="8"/>
  <c r="H16" i="9"/>
  <c r="D16" i="11"/>
  <c r="H19" i="8"/>
  <c r="D19" i="9"/>
  <c r="F13" i="12"/>
  <c r="H13" i="10"/>
  <c r="F8" i="12"/>
  <c r="H8" i="10"/>
  <c r="F14" i="13" l="1"/>
  <c r="H14" s="1"/>
  <c r="H13" i="12"/>
  <c r="H19" i="9"/>
  <c r="D19" i="11"/>
  <c r="D16" i="10"/>
  <c r="H16" i="11"/>
  <c r="F6" i="10"/>
  <c r="H6" i="11"/>
  <c r="F9" i="10"/>
  <c r="H9" i="11"/>
  <c r="F12" i="10"/>
  <c r="H12" i="11"/>
  <c r="L4" i="13"/>
  <c r="F9"/>
  <c r="H9" s="1"/>
  <c r="H8" i="12"/>
  <c r="H17" i="9"/>
  <c r="D17" i="11"/>
  <c r="H23" i="6"/>
  <c r="H25" s="1"/>
  <c r="D21" i="7"/>
  <c r="D25" i="6"/>
  <c r="F6" i="13"/>
  <c r="H6" s="1"/>
  <c r="H5" i="12"/>
  <c r="F12" i="13"/>
  <c r="H12" s="1"/>
  <c r="H11" i="12"/>
  <c r="F14" i="10"/>
  <c r="H14" i="11"/>
  <c r="H10" i="8"/>
  <c r="F10" i="9"/>
  <c r="F23" i="8"/>
  <c r="D18" i="10"/>
  <c r="H18" i="11"/>
  <c r="L4" i="9"/>
  <c r="M4" i="8"/>
  <c r="L23"/>
  <c r="H15" i="10"/>
  <c r="D15" i="12"/>
  <c r="J3" i="7"/>
  <c r="J25" i="6"/>
  <c r="F4" i="10"/>
  <c r="H4" i="11"/>
  <c r="J3" i="8" l="1"/>
  <c r="J23" i="7"/>
  <c r="H14" i="10"/>
  <c r="F14" i="12"/>
  <c r="H21" i="7"/>
  <c r="H23" s="1"/>
  <c r="D21" i="8"/>
  <c r="D23" i="7"/>
  <c r="H12" i="10"/>
  <c r="F12" i="12"/>
  <c r="H9" i="10"/>
  <c r="F9" i="12"/>
  <c r="H6" i="10"/>
  <c r="F6" i="12"/>
  <c r="H16" i="10"/>
  <c r="D16" i="12"/>
  <c r="H4" i="10"/>
  <c r="F4" i="12"/>
  <c r="D16" i="13"/>
  <c r="H15" i="12"/>
  <c r="M4" i="9"/>
  <c r="L4" i="11"/>
  <c r="L23" i="9"/>
  <c r="D18" i="12"/>
  <c r="H18" i="10"/>
  <c r="F10" i="11"/>
  <c r="H10" i="9"/>
  <c r="F23"/>
  <c r="D17" i="10"/>
  <c r="H17" i="11"/>
  <c r="H19"/>
  <c r="D19" i="10"/>
  <c r="D17" i="13" l="1"/>
  <c r="H17" s="1"/>
  <c r="H16" i="12"/>
  <c r="F7" i="13"/>
  <c r="H7" s="1"/>
  <c r="H6" i="12"/>
  <c r="F10" i="13"/>
  <c r="H10" s="1"/>
  <c r="H9" i="12"/>
  <c r="F13" i="13"/>
  <c r="H13" s="1"/>
  <c r="H12" i="12"/>
  <c r="J3" i="9"/>
  <c r="J23" i="8"/>
  <c r="H17" i="10"/>
  <c r="D17" i="12"/>
  <c r="H19" i="10"/>
  <c r="D19" i="12"/>
  <c r="F10" i="10"/>
  <c r="H10" i="11"/>
  <c r="F23"/>
  <c r="H18" i="12"/>
  <c r="D19" i="13"/>
  <c r="H19" s="1"/>
  <c r="M4" i="11"/>
  <c r="L4" i="10"/>
  <c r="L23" i="11"/>
  <c r="H16" i="13"/>
  <c r="F5"/>
  <c r="H4" i="12"/>
  <c r="D21" i="9"/>
  <c r="H21" i="8"/>
  <c r="H23" s="1"/>
  <c r="D23"/>
  <c r="F15" i="13"/>
  <c r="H15" s="1"/>
  <c r="H14" i="12"/>
  <c r="D21" i="11" l="1"/>
  <c r="H21" i="9"/>
  <c r="H23" s="1"/>
  <c r="D23"/>
  <c r="H19" i="12"/>
  <c r="D20" i="13"/>
  <c r="H20" s="1"/>
  <c r="J3" i="11"/>
  <c r="J23" i="9"/>
  <c r="H5" i="13"/>
  <c r="L4" i="12"/>
  <c r="M4" i="10"/>
  <c r="L23"/>
  <c r="F10" i="12"/>
  <c r="H10" i="10"/>
  <c r="F23"/>
  <c r="D18" i="13"/>
  <c r="H17" i="12"/>
  <c r="H18" i="13" l="1"/>
  <c r="L5"/>
  <c r="M4" i="12"/>
  <c r="L23"/>
  <c r="H21" i="11"/>
  <c r="H23" s="1"/>
  <c r="D21" i="10"/>
  <c r="D23" i="11"/>
  <c r="F11" i="13"/>
  <c r="H10" i="12"/>
  <c r="F23"/>
  <c r="J23" i="11"/>
  <c r="J3" i="10"/>
  <c r="H21" l="1"/>
  <c r="H23" s="1"/>
  <c r="D21" i="12"/>
  <c r="D23" i="10"/>
  <c r="M5" i="13"/>
  <c r="L24"/>
  <c r="J3" i="12"/>
  <c r="J23" i="10"/>
  <c r="H11" i="13"/>
  <c r="F24"/>
  <c r="J4" l="1"/>
  <c r="J24" s="1"/>
  <c r="J23" i="12"/>
  <c r="H21"/>
  <c r="H23" s="1"/>
  <c r="D22" i="13"/>
  <c r="D23" i="12"/>
  <c r="H22" i="13" l="1"/>
  <c r="H24" s="1"/>
  <c r="D24"/>
</calcChain>
</file>

<file path=xl/sharedStrings.xml><?xml version="1.0" encoding="utf-8"?>
<sst xmlns="http://schemas.openxmlformats.org/spreadsheetml/2006/main" count="413" uniqueCount="41">
  <si>
    <t>п/п</t>
  </si>
  <si>
    <t>Виды услуг</t>
  </si>
  <si>
    <t>нач. за месяц</t>
  </si>
  <si>
    <t>нач. с нач. года</t>
  </si>
  <si>
    <t>упл. жильц.за мес.</t>
  </si>
  <si>
    <t>упл.ж. с нач года</t>
  </si>
  <si>
    <t>разн. за мес.</t>
  </si>
  <si>
    <t>разн. с нач. отч. пер.</t>
  </si>
  <si>
    <t>выст. за мес.</t>
  </si>
  <si>
    <t xml:space="preserve">выст.с нач.года </t>
  </si>
  <si>
    <t>упл. Рел. в мес.</t>
  </si>
  <si>
    <t>Упл. с нач. года</t>
  </si>
  <si>
    <t>ИТОГО</t>
  </si>
  <si>
    <t>итого</t>
  </si>
  <si>
    <t>Содержание общ имущ дома</t>
  </si>
  <si>
    <t>Отопление</t>
  </si>
  <si>
    <t>Горячее водоснабжение</t>
  </si>
  <si>
    <t>Газ</t>
  </si>
  <si>
    <t>Уборка и санит.очистка зем.уч-ка</t>
  </si>
  <si>
    <t>Электроснабжение</t>
  </si>
  <si>
    <t>Холодная вода</t>
  </si>
  <si>
    <t>Канализир.холодной воды</t>
  </si>
  <si>
    <t>Канализир.горячей  воды</t>
  </si>
  <si>
    <t>Текущ.ремонт общ.имущ.дома</t>
  </si>
  <si>
    <t>Управление многокварт.домом</t>
  </si>
  <si>
    <t>Содерж и тек.рем.в/дом.газоснабж</t>
  </si>
  <si>
    <t>Содержание и ремонт АППЗ</t>
  </si>
  <si>
    <t>Содержание и ремонт лифтов</t>
  </si>
  <si>
    <t xml:space="preserve">Очистка мусоропроводов </t>
  </si>
  <si>
    <t>Парнасная д.3</t>
  </si>
  <si>
    <t>Парнассная д.3</t>
  </si>
  <si>
    <t xml:space="preserve">Дератизация </t>
  </si>
  <si>
    <t>Проверка и ТО внут.дом.газ.сет.</t>
  </si>
  <si>
    <t>при расч. берется графа-тек. начисл.</t>
  </si>
  <si>
    <t>Водоотведение  кв.</t>
  </si>
  <si>
    <t>Электроснабж. Общед. Н.</t>
  </si>
  <si>
    <t>Холодное водосн. Об/н</t>
  </si>
  <si>
    <t>Водоотведение  об/н</t>
  </si>
  <si>
    <t>Отопление общед.нужд.</t>
  </si>
  <si>
    <t>Электросн.на общед.н.(40)</t>
  </si>
  <si>
    <t>Задолженность проживающих на 31 декабря 2012 г. составила   121686 руб. 66 коп.</t>
  </si>
</sst>
</file>

<file path=xl/styles.xml><?xml version="1.0" encoding="utf-8"?>
<styleSheet xmlns="http://schemas.openxmlformats.org/spreadsheetml/2006/main">
  <numFmts count="1">
    <numFmt numFmtId="181" formatCode="0.00_ ;[Red]\-0.00\ "/>
  </numFmts>
  <fonts count="7">
    <font>
      <sz val="10"/>
      <name val="Arial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1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2"/>
      <color theme="3"/>
      <name val="Arial"/>
      <family val="2"/>
      <charset val="204"/>
    </font>
    <font>
      <b/>
      <sz val="12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2" fontId="0" fillId="0" borderId="1" xfId="0" applyNumberFormat="1" applyBorder="1" applyAlignment="1">
      <alignment horizontal="center" shrinkToFit="1"/>
    </xf>
    <xf numFmtId="0" fontId="0" fillId="0" borderId="0" xfId="0" applyAlignment="1">
      <alignment horizontal="center" shrinkToFit="1"/>
    </xf>
    <xf numFmtId="181" fontId="0" fillId="0" borderId="1" xfId="0" applyNumberFormat="1" applyBorder="1" applyAlignment="1">
      <alignment horizontal="center"/>
    </xf>
    <xf numFmtId="181" fontId="0" fillId="0" borderId="1" xfId="0" applyNumberFormat="1" applyBorder="1"/>
    <xf numFmtId="1" fontId="0" fillId="0" borderId="0" xfId="0" applyNumberFormat="1"/>
    <xf numFmtId="2" fontId="0" fillId="0" borderId="1" xfId="0" applyNumberFormat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left" shrinkToFit="1"/>
    </xf>
    <xf numFmtId="0" fontId="2" fillId="0" borderId="0" xfId="0" applyFont="1" applyAlignment="1">
      <alignment horizontal="left" shrinkToFit="1"/>
    </xf>
    <xf numFmtId="181" fontId="0" fillId="0" borderId="1" xfId="0" applyNumberForma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 shrinkToFit="1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 shrinkToFit="1"/>
    </xf>
    <xf numFmtId="18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/>
    <xf numFmtId="2" fontId="0" fillId="2" borderId="1" xfId="0" applyNumberForma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0" fillId="2" borderId="1" xfId="0" applyFill="1" applyBorder="1"/>
    <xf numFmtId="0" fontId="4" fillId="0" borderId="0" xfId="0" applyFont="1"/>
    <xf numFmtId="181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I5" sqref="I5:I16"/>
    </sheetView>
  </sheetViews>
  <sheetFormatPr defaultRowHeight="12.75"/>
  <cols>
    <col min="1" max="1" width="4.85546875" customWidth="1"/>
    <col min="2" max="2" width="29" style="9" customWidth="1"/>
    <col min="3" max="3" width="10.28515625" style="4" customWidth="1"/>
    <col min="4" max="4" width="10" style="4" customWidth="1"/>
    <col min="5" max="5" width="9.85546875" customWidth="1"/>
    <col min="6" max="6" width="10.5703125" style="4" customWidth="1"/>
    <col min="7" max="7" width="10.42578125" style="4" customWidth="1"/>
    <col min="8" max="8" width="11" customWidth="1"/>
    <col min="9" max="9" width="9.7109375" customWidth="1"/>
    <col min="10" max="10" width="9.42578125" customWidth="1"/>
    <col min="11" max="12" width="10.140625" style="4" customWidth="1"/>
  </cols>
  <sheetData>
    <row r="1" spans="1:12">
      <c r="E1" s="15"/>
      <c r="F1" s="16" t="s">
        <v>29</v>
      </c>
      <c r="G1" s="16"/>
    </row>
    <row r="3" spans="1:12">
      <c r="A3" s="1" t="s">
        <v>0</v>
      </c>
      <c r="B3" s="6" t="s">
        <v>1</v>
      </c>
      <c r="C3" s="5" t="s">
        <v>2</v>
      </c>
      <c r="D3" s="6" t="s">
        <v>3</v>
      </c>
      <c r="E3" s="7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7" t="s">
        <v>9</v>
      </c>
      <c r="K3" s="6" t="s">
        <v>10</v>
      </c>
      <c r="L3" s="6" t="s">
        <v>11</v>
      </c>
    </row>
    <row r="4" spans="1:12">
      <c r="A4" s="1">
        <v>1</v>
      </c>
      <c r="B4" s="13" t="s">
        <v>14</v>
      </c>
      <c r="C4" s="10"/>
      <c r="D4" s="10">
        <f>C4</f>
        <v>0</v>
      </c>
      <c r="E4" s="11"/>
      <c r="F4" s="10">
        <f>E4</f>
        <v>0</v>
      </c>
      <c r="G4" s="10">
        <f>E4-C4</f>
        <v>0</v>
      </c>
      <c r="H4" s="11">
        <f>F4-D4</f>
        <v>0</v>
      </c>
      <c r="I4" s="11"/>
      <c r="J4" s="11">
        <f>I4</f>
        <v>0</v>
      </c>
      <c r="K4" s="10"/>
      <c r="L4" s="10">
        <f>K4</f>
        <v>0</v>
      </c>
    </row>
    <row r="5" spans="1:12">
      <c r="A5" s="1">
        <f>A4+1</f>
        <v>2</v>
      </c>
      <c r="B5" s="13" t="s">
        <v>15</v>
      </c>
      <c r="C5" s="10"/>
      <c r="D5" s="10">
        <f t="shared" ref="D5:D23" si="0">C5</f>
        <v>0</v>
      </c>
      <c r="E5" s="11"/>
      <c r="F5" s="10">
        <f t="shared" ref="F5:F23" si="1">E5</f>
        <v>0</v>
      </c>
      <c r="G5" s="10">
        <f t="shared" ref="G5:G23" si="2">E5-C5</f>
        <v>0</v>
      </c>
      <c r="H5" s="11">
        <f t="shared" ref="H5:H23" si="3">F5-D5</f>
        <v>0</v>
      </c>
      <c r="I5" s="11"/>
      <c r="J5" s="11">
        <f t="shared" ref="J5:J23" si="4">I5</f>
        <v>0</v>
      </c>
      <c r="K5" s="10"/>
      <c r="L5" s="10">
        <f t="shared" ref="L5:L23" si="5">K5</f>
        <v>0</v>
      </c>
    </row>
    <row r="6" spans="1:12">
      <c r="A6" s="1">
        <f t="shared" ref="A6:A23" si="6">A5+1</f>
        <v>3</v>
      </c>
      <c r="B6" s="13" t="s">
        <v>16</v>
      </c>
      <c r="C6" s="10"/>
      <c r="D6" s="10">
        <f t="shared" si="0"/>
        <v>0</v>
      </c>
      <c r="E6" s="11"/>
      <c r="F6" s="10">
        <f t="shared" si="1"/>
        <v>0</v>
      </c>
      <c r="G6" s="10">
        <f t="shared" si="2"/>
        <v>0</v>
      </c>
      <c r="H6" s="11">
        <f t="shared" si="3"/>
        <v>0</v>
      </c>
      <c r="I6" s="11"/>
      <c r="J6" s="11">
        <f t="shared" si="4"/>
        <v>0</v>
      </c>
      <c r="K6" s="10"/>
      <c r="L6" s="10">
        <f t="shared" si="5"/>
        <v>0</v>
      </c>
    </row>
    <row r="7" spans="1:12">
      <c r="A7" s="1">
        <f t="shared" si="6"/>
        <v>4</v>
      </c>
      <c r="B7" s="13" t="s">
        <v>17</v>
      </c>
      <c r="C7" s="10"/>
      <c r="D7" s="10">
        <f t="shared" si="0"/>
        <v>0</v>
      </c>
      <c r="E7" s="11"/>
      <c r="F7" s="10">
        <f t="shared" si="1"/>
        <v>0</v>
      </c>
      <c r="G7" s="10">
        <f t="shared" si="2"/>
        <v>0</v>
      </c>
      <c r="H7" s="11">
        <f t="shared" si="3"/>
        <v>0</v>
      </c>
      <c r="I7" s="11"/>
      <c r="J7" s="11">
        <f t="shared" si="4"/>
        <v>0</v>
      </c>
      <c r="K7" s="10"/>
      <c r="L7" s="10">
        <f t="shared" si="5"/>
        <v>0</v>
      </c>
    </row>
    <row r="8" spans="1:12">
      <c r="A8" s="1">
        <f t="shared" si="6"/>
        <v>5</v>
      </c>
      <c r="B8" s="14" t="s">
        <v>18</v>
      </c>
      <c r="C8" s="10"/>
      <c r="D8" s="10">
        <f t="shared" si="0"/>
        <v>0</v>
      </c>
      <c r="E8" s="11"/>
      <c r="F8" s="10">
        <f t="shared" si="1"/>
        <v>0</v>
      </c>
      <c r="G8" s="10">
        <f t="shared" si="2"/>
        <v>0</v>
      </c>
      <c r="H8" s="11">
        <f t="shared" si="3"/>
        <v>0</v>
      </c>
      <c r="I8" s="11"/>
      <c r="J8" s="11">
        <f t="shared" si="4"/>
        <v>0</v>
      </c>
      <c r="K8" s="10"/>
      <c r="L8" s="10">
        <f t="shared" si="5"/>
        <v>0</v>
      </c>
    </row>
    <row r="9" spans="1:12">
      <c r="A9" s="1">
        <f t="shared" si="6"/>
        <v>6</v>
      </c>
      <c r="B9" s="13" t="s">
        <v>28</v>
      </c>
      <c r="C9" s="10"/>
      <c r="D9" s="10">
        <f t="shared" si="0"/>
        <v>0</v>
      </c>
      <c r="E9" s="11"/>
      <c r="F9" s="10">
        <f t="shared" si="1"/>
        <v>0</v>
      </c>
      <c r="G9" s="10">
        <f t="shared" si="2"/>
        <v>0</v>
      </c>
      <c r="H9" s="11">
        <f t="shared" si="3"/>
        <v>0</v>
      </c>
      <c r="I9" s="11"/>
      <c r="J9" s="11">
        <f t="shared" si="4"/>
        <v>0</v>
      </c>
      <c r="K9" s="10"/>
      <c r="L9" s="10">
        <f t="shared" si="5"/>
        <v>0</v>
      </c>
    </row>
    <row r="10" spans="1:12">
      <c r="A10" s="1">
        <f t="shared" si="6"/>
        <v>7</v>
      </c>
      <c r="B10" s="13" t="s">
        <v>19</v>
      </c>
      <c r="C10" s="10"/>
      <c r="D10" s="10">
        <f t="shared" si="0"/>
        <v>0</v>
      </c>
      <c r="E10" s="11"/>
      <c r="F10" s="10">
        <f t="shared" si="1"/>
        <v>0</v>
      </c>
      <c r="G10" s="10">
        <f t="shared" si="2"/>
        <v>0</v>
      </c>
      <c r="H10" s="11">
        <f t="shared" si="3"/>
        <v>0</v>
      </c>
      <c r="I10" s="11"/>
      <c r="J10" s="11">
        <f t="shared" si="4"/>
        <v>0</v>
      </c>
      <c r="K10" s="10"/>
      <c r="L10" s="10">
        <f t="shared" si="5"/>
        <v>0</v>
      </c>
    </row>
    <row r="11" spans="1:12">
      <c r="A11" s="1">
        <f t="shared" si="6"/>
        <v>8</v>
      </c>
      <c r="B11" s="13" t="s">
        <v>20</v>
      </c>
      <c r="C11" s="10"/>
      <c r="D11" s="10">
        <f t="shared" si="0"/>
        <v>0</v>
      </c>
      <c r="E11" s="11"/>
      <c r="F11" s="10">
        <f t="shared" si="1"/>
        <v>0</v>
      </c>
      <c r="G11" s="10">
        <f t="shared" si="2"/>
        <v>0</v>
      </c>
      <c r="H11" s="11">
        <f t="shared" si="3"/>
        <v>0</v>
      </c>
      <c r="I11" s="11"/>
      <c r="J11" s="11">
        <f t="shared" si="4"/>
        <v>0</v>
      </c>
      <c r="K11" s="10"/>
      <c r="L11" s="10">
        <f t="shared" si="5"/>
        <v>0</v>
      </c>
    </row>
    <row r="12" spans="1:12">
      <c r="A12" s="1">
        <f t="shared" si="6"/>
        <v>9</v>
      </c>
      <c r="B12" s="13" t="s">
        <v>21</v>
      </c>
      <c r="C12" s="10"/>
      <c r="D12" s="10">
        <f t="shared" si="0"/>
        <v>0</v>
      </c>
      <c r="E12" s="11"/>
      <c r="F12" s="10">
        <f t="shared" si="1"/>
        <v>0</v>
      </c>
      <c r="G12" s="10">
        <f t="shared" si="2"/>
        <v>0</v>
      </c>
      <c r="H12" s="11">
        <f t="shared" si="3"/>
        <v>0</v>
      </c>
      <c r="I12" s="11"/>
      <c r="J12" s="11">
        <f t="shared" si="4"/>
        <v>0</v>
      </c>
      <c r="K12" s="10"/>
      <c r="L12" s="10">
        <f t="shared" si="5"/>
        <v>0</v>
      </c>
    </row>
    <row r="13" spans="1:12">
      <c r="A13" s="1">
        <f t="shared" si="6"/>
        <v>10</v>
      </c>
      <c r="B13" s="13" t="s">
        <v>22</v>
      </c>
      <c r="C13" s="10"/>
      <c r="D13" s="10">
        <f t="shared" si="0"/>
        <v>0</v>
      </c>
      <c r="E13" s="11"/>
      <c r="F13" s="10">
        <f t="shared" si="1"/>
        <v>0</v>
      </c>
      <c r="G13" s="10">
        <f t="shared" si="2"/>
        <v>0</v>
      </c>
      <c r="H13" s="11">
        <f t="shared" si="3"/>
        <v>0</v>
      </c>
      <c r="I13" s="11"/>
      <c r="J13" s="11">
        <f t="shared" si="4"/>
        <v>0</v>
      </c>
      <c r="K13" s="10"/>
      <c r="L13" s="10">
        <f t="shared" si="5"/>
        <v>0</v>
      </c>
    </row>
    <row r="14" spans="1:12">
      <c r="A14" s="1">
        <f t="shared" si="6"/>
        <v>11</v>
      </c>
      <c r="B14" s="13" t="s">
        <v>23</v>
      </c>
      <c r="C14" s="10"/>
      <c r="D14" s="10">
        <f t="shared" si="0"/>
        <v>0</v>
      </c>
      <c r="E14" s="11"/>
      <c r="F14" s="10">
        <f t="shared" si="1"/>
        <v>0</v>
      </c>
      <c r="G14" s="10">
        <f t="shared" si="2"/>
        <v>0</v>
      </c>
      <c r="H14" s="11">
        <f t="shared" si="3"/>
        <v>0</v>
      </c>
      <c r="I14" s="11"/>
      <c r="J14" s="11">
        <f t="shared" si="4"/>
        <v>0</v>
      </c>
      <c r="K14" s="10"/>
      <c r="L14" s="10">
        <f t="shared" si="5"/>
        <v>0</v>
      </c>
    </row>
    <row r="15" spans="1:12" ht="11.25" customHeight="1">
      <c r="A15" s="1">
        <f t="shared" si="6"/>
        <v>12</v>
      </c>
      <c r="B15" s="13" t="s">
        <v>24</v>
      </c>
      <c r="C15" s="10"/>
      <c r="D15" s="10">
        <f t="shared" si="0"/>
        <v>0</v>
      </c>
      <c r="E15" s="11"/>
      <c r="F15" s="10">
        <f t="shared" si="1"/>
        <v>0</v>
      </c>
      <c r="G15" s="10">
        <f t="shared" si="2"/>
        <v>0</v>
      </c>
      <c r="H15" s="11">
        <f t="shared" si="3"/>
        <v>0</v>
      </c>
      <c r="I15" s="11"/>
      <c r="J15" s="11">
        <f t="shared" si="4"/>
        <v>0</v>
      </c>
      <c r="K15" s="10"/>
      <c r="L15" s="10">
        <f t="shared" si="5"/>
        <v>0</v>
      </c>
    </row>
    <row r="16" spans="1:12">
      <c r="A16" s="1">
        <f t="shared" si="6"/>
        <v>13</v>
      </c>
      <c r="B16" s="13" t="s">
        <v>25</v>
      </c>
      <c r="C16" s="10"/>
      <c r="D16" s="10">
        <f t="shared" si="0"/>
        <v>0</v>
      </c>
      <c r="E16" s="11"/>
      <c r="F16" s="10">
        <f t="shared" si="1"/>
        <v>0</v>
      </c>
      <c r="G16" s="10">
        <f t="shared" si="2"/>
        <v>0</v>
      </c>
      <c r="H16" s="11">
        <f t="shared" si="3"/>
        <v>0</v>
      </c>
      <c r="I16" s="11"/>
      <c r="J16" s="11">
        <f t="shared" si="4"/>
        <v>0</v>
      </c>
      <c r="K16" s="10"/>
      <c r="L16" s="10">
        <f t="shared" si="5"/>
        <v>0</v>
      </c>
    </row>
    <row r="17" spans="1:12">
      <c r="A17" s="1">
        <f t="shared" si="6"/>
        <v>14</v>
      </c>
      <c r="B17" s="13" t="s">
        <v>26</v>
      </c>
      <c r="C17" s="10"/>
      <c r="D17" s="10">
        <f t="shared" si="0"/>
        <v>0</v>
      </c>
      <c r="E17" s="11"/>
      <c r="F17" s="10">
        <f t="shared" si="1"/>
        <v>0</v>
      </c>
      <c r="G17" s="10">
        <f t="shared" si="2"/>
        <v>0</v>
      </c>
      <c r="H17" s="11">
        <f t="shared" si="3"/>
        <v>0</v>
      </c>
      <c r="I17" s="11"/>
      <c r="J17" s="11">
        <f t="shared" si="4"/>
        <v>0</v>
      </c>
      <c r="K17" s="10"/>
      <c r="L17" s="10">
        <f t="shared" si="5"/>
        <v>0</v>
      </c>
    </row>
    <row r="18" spans="1:12">
      <c r="A18" s="1">
        <f t="shared" si="6"/>
        <v>15</v>
      </c>
      <c r="B18" s="13" t="s">
        <v>27</v>
      </c>
      <c r="C18" s="10"/>
      <c r="D18" s="10">
        <f t="shared" si="0"/>
        <v>0</v>
      </c>
      <c r="E18" s="11"/>
      <c r="F18" s="10">
        <f t="shared" si="1"/>
        <v>0</v>
      </c>
      <c r="G18" s="10">
        <f t="shared" si="2"/>
        <v>0</v>
      </c>
      <c r="H18" s="11">
        <f t="shared" si="3"/>
        <v>0</v>
      </c>
      <c r="I18" s="11"/>
      <c r="J18" s="11">
        <f t="shared" si="4"/>
        <v>0</v>
      </c>
      <c r="K18" s="10"/>
      <c r="L18" s="10">
        <f t="shared" si="5"/>
        <v>0</v>
      </c>
    </row>
    <row r="19" spans="1:12">
      <c r="A19" s="1">
        <f t="shared" si="6"/>
        <v>16</v>
      </c>
      <c r="B19" s="13" t="s">
        <v>32</v>
      </c>
      <c r="C19" s="10"/>
      <c r="D19" s="10">
        <f t="shared" si="0"/>
        <v>0</v>
      </c>
      <c r="E19" s="11"/>
      <c r="F19" s="10">
        <f t="shared" si="1"/>
        <v>0</v>
      </c>
      <c r="G19" s="10">
        <f t="shared" si="2"/>
        <v>0</v>
      </c>
      <c r="H19" s="11">
        <f t="shared" si="3"/>
        <v>0</v>
      </c>
      <c r="I19" s="11"/>
      <c r="J19" s="11">
        <f t="shared" si="4"/>
        <v>0</v>
      </c>
      <c r="K19" s="10"/>
      <c r="L19" s="10">
        <f t="shared" si="5"/>
        <v>0</v>
      </c>
    </row>
    <row r="20" spans="1:12">
      <c r="A20" s="1">
        <f t="shared" si="6"/>
        <v>17</v>
      </c>
      <c r="B20" s="8" t="s">
        <v>31</v>
      </c>
      <c r="C20" s="10"/>
      <c r="D20" s="10">
        <f t="shared" si="0"/>
        <v>0</v>
      </c>
      <c r="E20" s="11"/>
      <c r="F20" s="10">
        <f t="shared" si="1"/>
        <v>0</v>
      </c>
      <c r="G20" s="10">
        <f t="shared" si="2"/>
        <v>0</v>
      </c>
      <c r="H20" s="11">
        <f t="shared" si="3"/>
        <v>0</v>
      </c>
      <c r="I20" s="11"/>
      <c r="J20" s="11">
        <f t="shared" si="4"/>
        <v>0</v>
      </c>
      <c r="K20" s="10"/>
      <c r="L20" s="10">
        <f t="shared" si="5"/>
        <v>0</v>
      </c>
    </row>
    <row r="21" spans="1:12">
      <c r="A21" s="1">
        <f t="shared" si="6"/>
        <v>18</v>
      </c>
      <c r="B21" s="13"/>
      <c r="C21" s="10"/>
      <c r="D21" s="10">
        <f t="shared" si="0"/>
        <v>0</v>
      </c>
      <c r="E21" s="11"/>
      <c r="F21" s="10">
        <f t="shared" si="1"/>
        <v>0</v>
      </c>
      <c r="G21" s="10">
        <f t="shared" si="2"/>
        <v>0</v>
      </c>
      <c r="H21" s="11">
        <f t="shared" si="3"/>
        <v>0</v>
      </c>
      <c r="I21" s="11"/>
      <c r="J21" s="11">
        <f t="shared" si="4"/>
        <v>0</v>
      </c>
      <c r="K21" s="10"/>
      <c r="L21" s="10">
        <f t="shared" si="5"/>
        <v>0</v>
      </c>
    </row>
    <row r="22" spans="1:12">
      <c r="A22" s="1">
        <f t="shared" si="6"/>
        <v>19</v>
      </c>
      <c r="B22" s="13"/>
      <c r="C22" s="10"/>
      <c r="D22" s="10">
        <f t="shared" si="0"/>
        <v>0</v>
      </c>
      <c r="E22" s="11"/>
      <c r="F22" s="10">
        <f t="shared" si="1"/>
        <v>0</v>
      </c>
      <c r="G22" s="10">
        <f t="shared" si="2"/>
        <v>0</v>
      </c>
      <c r="H22" s="11">
        <f t="shared" si="3"/>
        <v>0</v>
      </c>
      <c r="I22" s="11"/>
      <c r="J22" s="11">
        <f t="shared" si="4"/>
        <v>0</v>
      </c>
      <c r="K22" s="10"/>
      <c r="L22" s="10">
        <f t="shared" si="5"/>
        <v>0</v>
      </c>
    </row>
    <row r="23" spans="1:12">
      <c r="A23" s="1">
        <f t="shared" si="6"/>
        <v>20</v>
      </c>
      <c r="B23" s="13"/>
      <c r="C23" s="10"/>
      <c r="D23" s="10">
        <f t="shared" si="0"/>
        <v>0</v>
      </c>
      <c r="E23" s="11"/>
      <c r="F23" s="10">
        <f t="shared" si="1"/>
        <v>0</v>
      </c>
      <c r="G23" s="10">
        <f t="shared" si="2"/>
        <v>0</v>
      </c>
      <c r="H23" s="11">
        <f t="shared" si="3"/>
        <v>0</v>
      </c>
      <c r="I23" s="11"/>
      <c r="J23" s="11">
        <f t="shared" si="4"/>
        <v>0</v>
      </c>
      <c r="K23" s="10"/>
      <c r="L23" s="10">
        <f t="shared" si="5"/>
        <v>0</v>
      </c>
    </row>
    <row r="24" spans="1:12">
      <c r="A24" s="1"/>
      <c r="B24" s="8" t="s">
        <v>12</v>
      </c>
      <c r="C24" s="10">
        <f t="shared" ref="C24:L24" si="7">SUM(C4:C23)</f>
        <v>0</v>
      </c>
      <c r="D24" s="10">
        <f t="shared" si="7"/>
        <v>0</v>
      </c>
      <c r="E24" s="11">
        <f t="shared" si="7"/>
        <v>0</v>
      </c>
      <c r="F24" s="10">
        <f t="shared" si="7"/>
        <v>0</v>
      </c>
      <c r="G24" s="10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0">
        <f t="shared" si="7"/>
        <v>0</v>
      </c>
      <c r="L24" s="10">
        <f t="shared" si="7"/>
        <v>0</v>
      </c>
    </row>
    <row r="25" spans="1:12">
      <c r="A25" s="1"/>
      <c r="B25" s="8"/>
      <c r="C25" s="10"/>
      <c r="D25" s="10"/>
      <c r="E25" s="11"/>
      <c r="F25" s="10"/>
      <c r="G25" s="10"/>
      <c r="H25" s="11"/>
      <c r="I25" s="11"/>
      <c r="J25" s="11"/>
      <c r="K25" s="10"/>
      <c r="L25" s="10"/>
    </row>
    <row r="26" spans="1:12">
      <c r="A26" s="1"/>
      <c r="B26" s="8"/>
      <c r="C26" s="3"/>
      <c r="D26" s="3"/>
      <c r="E26" s="2"/>
      <c r="F26" s="3"/>
      <c r="G26" s="3"/>
      <c r="H26" s="2"/>
      <c r="I26" s="2"/>
      <c r="J26" s="2"/>
      <c r="K26" s="3"/>
      <c r="L26" s="3"/>
    </row>
    <row r="27" spans="1:12">
      <c r="A27" s="1"/>
      <c r="B27" s="8"/>
      <c r="C27" s="3"/>
      <c r="D27" s="3"/>
      <c r="E27" s="2"/>
      <c r="F27" s="3"/>
      <c r="G27" s="3"/>
      <c r="H27" s="2"/>
      <c r="I27" s="2"/>
      <c r="J27" s="2"/>
      <c r="K27" s="3"/>
      <c r="L27" s="3"/>
    </row>
    <row r="28" spans="1:12">
      <c r="A28" s="1"/>
      <c r="B28" s="8"/>
      <c r="C28" s="3"/>
      <c r="D28" s="3"/>
      <c r="E28" s="2"/>
      <c r="F28" s="3"/>
      <c r="G28" s="3"/>
      <c r="H28" s="2"/>
      <c r="I28" s="2"/>
      <c r="J28" s="2"/>
      <c r="K28" s="3"/>
      <c r="L28" s="3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140625" customWidth="1"/>
    <col min="2" max="2" width="21.5703125" customWidth="1"/>
    <col min="3" max="3" width="9.28515625" bestFit="1" customWidth="1"/>
    <col min="4" max="4" width="11.140625" customWidth="1"/>
    <col min="5" max="5" width="9.28515625" bestFit="1" customWidth="1"/>
    <col min="6" max="6" width="11.7109375" customWidth="1"/>
    <col min="7" max="7" width="9.7109375" bestFit="1" customWidth="1"/>
    <col min="8" max="8" width="11.7109375" customWidth="1"/>
    <col min="9" max="9" width="9.28515625" bestFit="1" customWidth="1"/>
    <col min="10" max="10" width="11.140625" customWidth="1"/>
    <col min="11" max="11" width="9.28515625" bestFit="1" customWidth="1"/>
    <col min="12" max="12" width="11" customWidth="1"/>
  </cols>
  <sheetData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1452.03+7507.24</f>
        <v>8959.27</v>
      </c>
      <c r="D3" s="25">
        <f>C3+август!D3</f>
        <v>70665.460000000006</v>
      </c>
      <c r="E3" s="11">
        <f>1582.41+3893.51</f>
        <v>5475.92</v>
      </c>
      <c r="F3" s="25">
        <f>E3+август!F3</f>
        <v>49136.429999999993</v>
      </c>
      <c r="G3" s="25">
        <f>E3-C3</f>
        <v>-3483.3500000000004</v>
      </c>
      <c r="H3" s="26">
        <f t="shared" ref="G3:H22" si="0">F3-D3</f>
        <v>-21529.030000000013</v>
      </c>
      <c r="I3" s="11"/>
      <c r="J3" s="26">
        <f>I3+август!J3</f>
        <v>0</v>
      </c>
      <c r="K3" s="10"/>
      <c r="L3" s="25">
        <f>K3+август!L3</f>
        <v>0</v>
      </c>
    </row>
    <row r="4" spans="1:13" ht="15.75">
      <c r="A4" s="1">
        <f>A3+1</f>
        <v>2</v>
      </c>
      <c r="B4" s="17" t="s">
        <v>15</v>
      </c>
      <c r="C4" s="10">
        <f>0</f>
        <v>0</v>
      </c>
      <c r="D4" s="25">
        <f>C4+август!D4</f>
        <v>127555.47</v>
      </c>
      <c r="E4" s="11">
        <f>2208.02+5507.87</f>
        <v>7715.8899999999994</v>
      </c>
      <c r="F4" s="25">
        <f>E4+август!F4</f>
        <v>97387.449999999983</v>
      </c>
      <c r="G4" s="25">
        <f t="shared" si="0"/>
        <v>7715.8899999999994</v>
      </c>
      <c r="H4" s="26">
        <f t="shared" si="0"/>
        <v>-30168.020000000019</v>
      </c>
      <c r="I4" s="11"/>
      <c r="J4" s="26">
        <f>I4+август!J4</f>
        <v>352502.36</v>
      </c>
      <c r="K4" s="10"/>
      <c r="L4" s="25">
        <f>K4+август!L4</f>
        <v>345288.13</v>
      </c>
      <c r="M4" s="32">
        <f>L4-J4</f>
        <v>-7214.2299999999814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C5+август!D5</f>
        <v>0</v>
      </c>
      <c r="E5" s="11"/>
      <c r="F5" s="25">
        <f>E5+август!F5</f>
        <v>0</v>
      </c>
      <c r="G5" s="25">
        <f t="shared" si="0"/>
        <v>0</v>
      </c>
      <c r="H5" s="26">
        <f t="shared" si="0"/>
        <v>0</v>
      </c>
      <c r="I5" s="11"/>
      <c r="J5" s="26">
        <f>I5+август!J5</f>
        <v>0</v>
      </c>
      <c r="K5" s="10"/>
      <c r="L5" s="25">
        <f>K5+август!L5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C6+август!D6</f>
        <v>0</v>
      </c>
      <c r="E6" s="11"/>
      <c r="F6" s="25">
        <f>E6+август!F6</f>
        <v>0</v>
      </c>
      <c r="G6" s="25">
        <f t="shared" si="0"/>
        <v>0</v>
      </c>
      <c r="H6" s="26">
        <f t="shared" si="0"/>
        <v>0</v>
      </c>
      <c r="I6" s="11"/>
      <c r="J6" s="26">
        <f>I6+август!J6</f>
        <v>0</v>
      </c>
      <c r="K6" s="10"/>
      <c r="L6" s="25">
        <f>K6+август!L6</f>
        <v>0</v>
      </c>
    </row>
    <row r="7" spans="1:13" ht="15.75">
      <c r="A7" s="1">
        <f t="shared" si="1"/>
        <v>5</v>
      </c>
      <c r="B7" s="18" t="s">
        <v>18</v>
      </c>
      <c r="C7" s="10">
        <f>197.8+1022.65</f>
        <v>1220.45</v>
      </c>
      <c r="D7" s="25">
        <f>C7+август!D7</f>
        <v>10629.710000000001</v>
      </c>
      <c r="E7" s="11">
        <f>232.2+572.41</f>
        <v>804.6099999999999</v>
      </c>
      <c r="F7" s="25">
        <f>E7+август!F7</f>
        <v>7465.78</v>
      </c>
      <c r="G7" s="25">
        <f t="shared" si="0"/>
        <v>-415.84000000000015</v>
      </c>
      <c r="H7" s="26">
        <f t="shared" si="0"/>
        <v>-3163.9300000000012</v>
      </c>
      <c r="I7" s="11"/>
      <c r="J7" s="26">
        <f>I7+август!J7</f>
        <v>0</v>
      </c>
      <c r="K7" s="10"/>
      <c r="L7" s="25">
        <f>K7+август!L7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C8+август!D8</f>
        <v>0</v>
      </c>
      <c r="E8" s="11"/>
      <c r="F8" s="25">
        <f>E8+август!F8</f>
        <v>0</v>
      </c>
      <c r="G8" s="25">
        <f t="shared" si="0"/>
        <v>0</v>
      </c>
      <c r="H8" s="26">
        <f t="shared" si="0"/>
        <v>0</v>
      </c>
      <c r="I8" s="11"/>
      <c r="J8" s="26">
        <f>I8+август!J8</f>
        <v>0</v>
      </c>
      <c r="K8" s="10"/>
      <c r="L8" s="25">
        <f>K8+август!L8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C9+август!D9</f>
        <v>0</v>
      </c>
      <c r="E9" s="11"/>
      <c r="F9" s="25">
        <f>E9+август!F9</f>
        <v>0</v>
      </c>
      <c r="G9" s="25">
        <f t="shared" si="0"/>
        <v>0</v>
      </c>
      <c r="H9" s="26">
        <f t="shared" si="0"/>
        <v>0</v>
      </c>
      <c r="I9" s="11"/>
      <c r="J9" s="26">
        <f>I9+август!J9</f>
        <v>0</v>
      </c>
      <c r="K9" s="10"/>
      <c r="L9" s="25">
        <f>K9+август!L9</f>
        <v>0</v>
      </c>
    </row>
    <row r="10" spans="1:13" ht="15.75">
      <c r="A10" s="1">
        <f t="shared" si="1"/>
        <v>8</v>
      </c>
      <c r="B10" s="17" t="s">
        <v>20</v>
      </c>
      <c r="C10" s="10">
        <f>446.54+3870.02</f>
        <v>4316.5600000000004</v>
      </c>
      <c r="D10" s="25">
        <f>C10+август!D10</f>
        <v>38228.81</v>
      </c>
      <c r="E10" s="11">
        <f>561.04+2600.27</f>
        <v>3161.31</v>
      </c>
      <c r="F10" s="25">
        <f>E10+август!F10</f>
        <v>25598.23</v>
      </c>
      <c r="G10" s="25">
        <f t="shared" si="0"/>
        <v>-1155.2500000000005</v>
      </c>
      <c r="H10" s="26">
        <f t="shared" si="0"/>
        <v>-12630.579999999998</v>
      </c>
      <c r="I10" s="11">
        <v>1446.24</v>
      </c>
      <c r="J10" s="26">
        <f>I10+август!J10</f>
        <v>26408.75</v>
      </c>
      <c r="K10" s="10">
        <v>1446.24</v>
      </c>
      <c r="L10" s="25">
        <f>K10+август!L10</f>
        <v>24919.07</v>
      </c>
    </row>
    <row r="11" spans="1:13" ht="15.75">
      <c r="A11" s="1">
        <f t="shared" si="1"/>
        <v>9</v>
      </c>
      <c r="B11" s="17" t="s">
        <v>21</v>
      </c>
      <c r="C11" s="10">
        <v>0</v>
      </c>
      <c r="D11" s="25">
        <f>C11+август!D11</f>
        <v>33912.25</v>
      </c>
      <c r="E11" s="11">
        <f>337.77+1930.46</f>
        <v>2268.23</v>
      </c>
      <c r="F11" s="25">
        <f>E11+август!F11</f>
        <v>21900.640000000003</v>
      </c>
      <c r="G11" s="25">
        <f t="shared" si="0"/>
        <v>2268.23</v>
      </c>
      <c r="H11" s="26">
        <f t="shared" si="0"/>
        <v>-12011.609999999997</v>
      </c>
      <c r="I11" s="11">
        <v>1446.24</v>
      </c>
      <c r="J11" s="26">
        <f>I11+август!J11</f>
        <v>26408.75</v>
      </c>
      <c r="K11" s="10">
        <v>1446.24</v>
      </c>
      <c r="L11" s="25">
        <f>K11+август!L11</f>
        <v>12900.770000000002</v>
      </c>
    </row>
    <row r="12" spans="1:13" ht="15.75">
      <c r="A12" s="1">
        <f t="shared" si="1"/>
        <v>10</v>
      </c>
      <c r="B12" s="17" t="s">
        <v>22</v>
      </c>
      <c r="C12" s="10"/>
      <c r="D12" s="25">
        <f>C12+август!D12</f>
        <v>0</v>
      </c>
      <c r="E12" s="11"/>
      <c r="F12" s="25">
        <f>E12+август!F12</f>
        <v>0</v>
      </c>
      <c r="G12" s="25">
        <f t="shared" si="0"/>
        <v>0</v>
      </c>
      <c r="H12" s="26">
        <f t="shared" si="0"/>
        <v>0</v>
      </c>
      <c r="I12" s="11"/>
      <c r="J12" s="26">
        <f>I12+август!J12</f>
        <v>0</v>
      </c>
      <c r="K12" s="10"/>
      <c r="L12" s="25">
        <f>K12+август!L12</f>
        <v>0</v>
      </c>
    </row>
    <row r="13" spans="1:13" ht="15.75">
      <c r="A13" s="1">
        <f t="shared" si="1"/>
        <v>11</v>
      </c>
      <c r="B13" s="17" t="s">
        <v>23</v>
      </c>
      <c r="C13" s="10">
        <f>778.91+4027.13</f>
        <v>4806.04</v>
      </c>
      <c r="D13" s="25">
        <f>C13+август!D13</f>
        <v>41858.980000000003</v>
      </c>
      <c r="E13" s="11">
        <f>914.38+2254.21</f>
        <v>3168.59</v>
      </c>
      <c r="F13" s="25">
        <f>E13+август!F13</f>
        <v>29393.389999999996</v>
      </c>
      <c r="G13" s="25">
        <f t="shared" si="0"/>
        <v>-1637.4499999999998</v>
      </c>
      <c r="H13" s="26">
        <f t="shared" si="0"/>
        <v>-12465.590000000007</v>
      </c>
      <c r="I13" s="11"/>
      <c r="J13" s="26">
        <f>I13+август!J13</f>
        <v>0</v>
      </c>
      <c r="K13" s="10"/>
      <c r="L13" s="25">
        <f>K13+август!L13</f>
        <v>0</v>
      </c>
    </row>
    <row r="14" spans="1:13" ht="15.75">
      <c r="A14" s="1">
        <f t="shared" si="1"/>
        <v>12</v>
      </c>
      <c r="B14" s="17" t="s">
        <v>24</v>
      </c>
      <c r="C14" s="10">
        <f>180.93+935.4</f>
        <v>1116.33</v>
      </c>
      <c r="D14" s="25">
        <f>C14+август!D14</f>
        <v>9722.83</v>
      </c>
      <c r="E14" s="11">
        <f>212.4+523.58</f>
        <v>735.98</v>
      </c>
      <c r="F14" s="25">
        <f>E14+август!F14</f>
        <v>6828.82</v>
      </c>
      <c r="G14" s="25">
        <f t="shared" si="0"/>
        <v>-380.34999999999991</v>
      </c>
      <c r="H14" s="26">
        <f t="shared" si="0"/>
        <v>-2894.01</v>
      </c>
      <c r="I14" s="11"/>
      <c r="J14" s="26">
        <f>I14+август!J14</f>
        <v>0</v>
      </c>
      <c r="K14" s="10"/>
      <c r="L14" s="25">
        <f>K14+август!L14</f>
        <v>0</v>
      </c>
    </row>
    <row r="15" spans="1:13" ht="15.75">
      <c r="A15" s="1">
        <f t="shared" si="1"/>
        <v>13</v>
      </c>
      <c r="B15" s="17" t="s">
        <v>34</v>
      </c>
      <c r="C15" s="10">
        <f>446.54+3870.02</f>
        <v>4316.5600000000004</v>
      </c>
      <c r="D15" s="25">
        <f>C15+август!D15</f>
        <v>4316.5600000000004</v>
      </c>
      <c r="E15" s="11">
        <f>223.27+669.81</f>
        <v>893.07999999999993</v>
      </c>
      <c r="F15" s="25">
        <f>E15+август!F15</f>
        <v>893.07999999999993</v>
      </c>
      <c r="G15" s="25">
        <f t="shared" si="0"/>
        <v>-3423.4800000000005</v>
      </c>
      <c r="H15" s="26">
        <f t="shared" si="0"/>
        <v>-3423.4800000000005</v>
      </c>
      <c r="I15" s="11"/>
      <c r="J15" s="26">
        <f>I15+август!J15</f>
        <v>0</v>
      </c>
      <c r="K15" s="10"/>
      <c r="L15" s="25">
        <f>K15+август!L15</f>
        <v>0</v>
      </c>
    </row>
    <row r="16" spans="1:13" ht="15.75">
      <c r="A16" s="1">
        <f t="shared" si="1"/>
        <v>14</v>
      </c>
      <c r="B16" s="17" t="s">
        <v>35</v>
      </c>
      <c r="C16" s="10">
        <f>609.11+3149.15</f>
        <v>3758.26</v>
      </c>
      <c r="D16" s="25">
        <f>C16+август!D16</f>
        <v>3758.26</v>
      </c>
      <c r="E16" s="11">
        <f>105.91+143.71</f>
        <v>249.62</v>
      </c>
      <c r="F16" s="25">
        <f>E16+август!F16</f>
        <v>249.62</v>
      </c>
      <c r="G16" s="25">
        <f t="shared" si="0"/>
        <v>-3508.6400000000003</v>
      </c>
      <c r="H16" s="26">
        <f t="shared" si="0"/>
        <v>-3508.6400000000003</v>
      </c>
      <c r="I16" s="11"/>
      <c r="J16" s="26">
        <f>I16+август!J16</f>
        <v>0</v>
      </c>
      <c r="K16" s="10"/>
      <c r="L16" s="25">
        <f>K16+август!L16</f>
        <v>0</v>
      </c>
    </row>
    <row r="17" spans="1:12" ht="15.75">
      <c r="A17" s="1">
        <f t="shared" si="1"/>
        <v>15</v>
      </c>
      <c r="B17" s="17" t="s">
        <v>36</v>
      </c>
      <c r="C17" s="10">
        <f>256.83+1327.84</f>
        <v>1584.6699999999998</v>
      </c>
      <c r="D17" s="25">
        <f>C17+август!D17</f>
        <v>1584.6699999999998</v>
      </c>
      <c r="E17" s="11">
        <f>44.66+60.6</f>
        <v>105.25999999999999</v>
      </c>
      <c r="F17" s="25">
        <f>E17+август!F17</f>
        <v>105.25999999999999</v>
      </c>
      <c r="G17" s="25">
        <f t="shared" si="0"/>
        <v>-1479.4099999999999</v>
      </c>
      <c r="H17" s="26">
        <f t="shared" si="0"/>
        <v>-1479.4099999999999</v>
      </c>
      <c r="I17" s="11"/>
      <c r="J17" s="26">
        <f>I17+август!J17</f>
        <v>0</v>
      </c>
      <c r="K17" s="10"/>
      <c r="L17" s="25">
        <f>K17+август!L17</f>
        <v>0</v>
      </c>
    </row>
    <row r="18" spans="1:12">
      <c r="A18" s="1">
        <f t="shared" si="1"/>
        <v>16</v>
      </c>
      <c r="B18" s="8" t="s">
        <v>37</v>
      </c>
      <c r="C18" s="10">
        <f>256.83+1327.84</f>
        <v>1584.6699999999998</v>
      </c>
      <c r="D18" s="25">
        <f>C18+август!D18</f>
        <v>1584.6699999999998</v>
      </c>
      <c r="E18" s="11">
        <f>44.66+60.6</f>
        <v>105.25999999999999</v>
      </c>
      <c r="F18" s="25">
        <f>E18+август!F18</f>
        <v>105.25999999999999</v>
      </c>
      <c r="G18" s="25">
        <f t="shared" si="0"/>
        <v>-1479.4099999999999</v>
      </c>
      <c r="H18" s="26">
        <f t="shared" si="0"/>
        <v>-1479.4099999999999</v>
      </c>
      <c r="I18" s="11"/>
      <c r="J18" s="26">
        <f>I18+август!J18</f>
        <v>0</v>
      </c>
      <c r="K18" s="10"/>
      <c r="L18" s="25">
        <f>K18+август!L18</f>
        <v>0</v>
      </c>
    </row>
    <row r="19" spans="1:12">
      <c r="A19" s="1">
        <f t="shared" si="1"/>
        <v>17</v>
      </c>
      <c r="B19" s="8" t="s">
        <v>31</v>
      </c>
      <c r="C19" s="10"/>
      <c r="D19" s="25">
        <f>C19+август!D19</f>
        <v>0</v>
      </c>
      <c r="E19" s="11"/>
      <c r="F19" s="25">
        <f>E19+август!F19</f>
        <v>0</v>
      </c>
      <c r="G19" s="25">
        <f t="shared" si="0"/>
        <v>0</v>
      </c>
      <c r="H19" s="26">
        <f t="shared" si="0"/>
        <v>0</v>
      </c>
      <c r="I19" s="11"/>
      <c r="J19" s="26">
        <f>I19+август!J19</f>
        <v>0</v>
      </c>
      <c r="K19" s="10"/>
      <c r="L19" s="25">
        <f>K19+август!L19</f>
        <v>0</v>
      </c>
    </row>
    <row r="20" spans="1:12">
      <c r="A20" s="1">
        <f t="shared" si="1"/>
        <v>18</v>
      </c>
      <c r="B20" s="8"/>
      <c r="C20" s="10"/>
      <c r="D20" s="25">
        <f>C20+август!D20</f>
        <v>0</v>
      </c>
      <c r="E20" s="11"/>
      <c r="F20" s="25">
        <f>E20+август!F20</f>
        <v>0</v>
      </c>
      <c r="G20" s="25">
        <f t="shared" si="0"/>
        <v>0</v>
      </c>
      <c r="H20" s="26">
        <f t="shared" si="0"/>
        <v>0</v>
      </c>
      <c r="I20" s="11"/>
      <c r="J20" s="26">
        <f>I20+август!J20</f>
        <v>0</v>
      </c>
      <c r="K20" s="10"/>
      <c r="L20" s="25">
        <f>K20+август!L20</f>
        <v>0</v>
      </c>
    </row>
    <row r="21" spans="1:12">
      <c r="A21" s="1">
        <f t="shared" si="1"/>
        <v>19</v>
      </c>
      <c r="B21" s="8"/>
      <c r="C21" s="10"/>
      <c r="D21" s="25">
        <f>C21+август!D21</f>
        <v>0</v>
      </c>
      <c r="E21" s="11"/>
      <c r="F21" s="25">
        <f>E21+август!F21</f>
        <v>0</v>
      </c>
      <c r="G21" s="25">
        <f t="shared" si="0"/>
        <v>0</v>
      </c>
      <c r="H21" s="26">
        <f t="shared" si="0"/>
        <v>0</v>
      </c>
      <c r="I21" s="11"/>
      <c r="J21" s="26">
        <f>I21+август!J21</f>
        <v>0</v>
      </c>
      <c r="K21" s="10"/>
      <c r="L21" s="25">
        <f>K21+август!L21</f>
        <v>0</v>
      </c>
    </row>
    <row r="22" spans="1:12">
      <c r="A22" s="1">
        <f t="shared" si="1"/>
        <v>20</v>
      </c>
      <c r="B22" s="8"/>
      <c r="C22" s="10"/>
      <c r="D22" s="25">
        <f>C22+август!D22</f>
        <v>0</v>
      </c>
      <c r="E22" s="11"/>
      <c r="F22" s="25">
        <f>E22+август!F22</f>
        <v>0</v>
      </c>
      <c r="G22" s="25">
        <f t="shared" si="0"/>
        <v>0</v>
      </c>
      <c r="H22" s="26">
        <f t="shared" si="0"/>
        <v>0</v>
      </c>
      <c r="I22" s="11"/>
      <c r="J22" s="26">
        <f>I22+август!J22</f>
        <v>0</v>
      </c>
      <c r="K22" s="10"/>
      <c r="L22" s="25">
        <f>K22+август!L22</f>
        <v>0</v>
      </c>
    </row>
    <row r="23" spans="1:12">
      <c r="A23" s="30"/>
      <c r="B23" s="27" t="s">
        <v>13</v>
      </c>
      <c r="C23" s="25">
        <f t="shared" ref="C23:L23" si="2">SUM(C3:C22)</f>
        <v>31662.809999999998</v>
      </c>
      <c r="D23" s="25">
        <f t="shared" si="2"/>
        <v>343817.66999999993</v>
      </c>
      <c r="E23" s="26">
        <f t="shared" si="2"/>
        <v>24683.749999999996</v>
      </c>
      <c r="F23" s="25">
        <f t="shared" si="2"/>
        <v>239063.96</v>
      </c>
      <c r="G23" s="25">
        <f t="shared" si="2"/>
        <v>-6979.0600000000013</v>
      </c>
      <c r="H23" s="26">
        <f t="shared" si="2"/>
        <v>-104753.71000000004</v>
      </c>
      <c r="I23" s="26">
        <f t="shared" si="2"/>
        <v>2892.48</v>
      </c>
      <c r="J23" s="26">
        <f t="shared" si="2"/>
        <v>405319.86</v>
      </c>
      <c r="K23" s="25">
        <f t="shared" si="2"/>
        <v>2892.48</v>
      </c>
      <c r="L23" s="25">
        <f t="shared" si="2"/>
        <v>383107.97000000003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140625" customWidth="1"/>
    <col min="2" max="2" width="21.28515625" customWidth="1"/>
    <col min="3" max="3" width="9.28515625" bestFit="1" customWidth="1"/>
    <col min="4" max="4" width="11.28515625" customWidth="1"/>
    <col min="5" max="5" width="9.28515625" bestFit="1" customWidth="1"/>
    <col min="6" max="6" width="11.28515625" customWidth="1"/>
    <col min="7" max="7" width="9.7109375" bestFit="1" customWidth="1"/>
    <col min="8" max="8" width="10.5703125" customWidth="1"/>
    <col min="9" max="9" width="9.28515625" bestFit="1" customWidth="1"/>
    <col min="10" max="10" width="10.85546875" customWidth="1"/>
    <col min="11" max="11" width="9.28515625" bestFit="1" customWidth="1"/>
    <col min="12" max="12" width="11.7109375" customWidth="1"/>
    <col min="13" max="13" width="9.7109375" customWidth="1"/>
  </cols>
  <sheetData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1452.03+7507.24</f>
        <v>8959.27</v>
      </c>
      <c r="D3" s="25">
        <f>C3+сентябрь!D3</f>
        <v>79624.73000000001</v>
      </c>
      <c r="E3" s="11">
        <f>1227.13+8560.57</f>
        <v>9787.7000000000007</v>
      </c>
      <c r="F3" s="25">
        <f>E3+сентябрь!F3</f>
        <v>58924.12999999999</v>
      </c>
      <c r="G3" s="25">
        <f>E3-C3</f>
        <v>828.43000000000029</v>
      </c>
      <c r="H3" s="26">
        <f>F3-D3</f>
        <v>-20700.60000000002</v>
      </c>
      <c r="I3" s="11"/>
      <c r="J3" s="26">
        <f>I3+сентябрь!J3</f>
        <v>0</v>
      </c>
      <c r="K3" s="10"/>
      <c r="L3" s="25">
        <f>K3+сентябрь!L3</f>
        <v>0</v>
      </c>
    </row>
    <row r="4" spans="1:13" ht="15.75">
      <c r="A4" s="1">
        <f>A3+1</f>
        <v>2</v>
      </c>
      <c r="B4" s="17" t="s">
        <v>15</v>
      </c>
      <c r="C4" s="10">
        <f>3945.56+20399.19</f>
        <v>24344.75</v>
      </c>
      <c r="D4" s="25">
        <f>C4+сентябрь!D4</f>
        <v>151900.22</v>
      </c>
      <c r="E4" s="11">
        <f>1518.99+15217.18</f>
        <v>16736.170000000002</v>
      </c>
      <c r="F4" s="25">
        <f>E4+сентябрь!F4</f>
        <v>114123.61999999998</v>
      </c>
      <c r="G4" s="25">
        <f t="shared" ref="G4:H22" si="0">E4-C4</f>
        <v>-7608.5799999999981</v>
      </c>
      <c r="H4" s="26">
        <f t="shared" si="0"/>
        <v>-37776.60000000002</v>
      </c>
      <c r="I4" s="11">
        <v>36964.04</v>
      </c>
      <c r="J4" s="26">
        <f>I4+сентябрь!J4</f>
        <v>389466.39999999997</v>
      </c>
      <c r="K4" s="10"/>
      <c r="L4" s="25">
        <f>K4+сентябрь!L4</f>
        <v>345288.13</v>
      </c>
      <c r="M4" s="32">
        <f>L4-J4</f>
        <v>-44178.26999999996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C5+сентябрь!D5</f>
        <v>0</v>
      </c>
      <c r="E5" s="11"/>
      <c r="F5" s="25">
        <f>E5+сентябрь!F5</f>
        <v>0</v>
      </c>
      <c r="G5" s="25">
        <f t="shared" si="0"/>
        <v>0</v>
      </c>
      <c r="H5" s="26">
        <f t="shared" si="0"/>
        <v>0</v>
      </c>
      <c r="I5" s="11"/>
      <c r="J5" s="26">
        <f>I5+сентябрь!J5</f>
        <v>0</v>
      </c>
      <c r="K5" s="10"/>
      <c r="L5" s="25">
        <f>K5+сентябрь!L5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C6+сентябрь!D6</f>
        <v>0</v>
      </c>
      <c r="E6" s="11"/>
      <c r="F6" s="25">
        <f>E6+сентябрь!F6</f>
        <v>0</v>
      </c>
      <c r="G6" s="25">
        <f t="shared" si="0"/>
        <v>0</v>
      </c>
      <c r="H6" s="26">
        <f t="shared" si="0"/>
        <v>0</v>
      </c>
      <c r="I6" s="11"/>
      <c r="J6" s="26">
        <f>I6+сентябрь!J6</f>
        <v>0</v>
      </c>
      <c r="K6" s="10"/>
      <c r="L6" s="25">
        <f>K6+сентябрь!L6</f>
        <v>0</v>
      </c>
    </row>
    <row r="7" spans="1:13" ht="15.75">
      <c r="A7" s="1">
        <f t="shared" si="1"/>
        <v>5</v>
      </c>
      <c r="B7" s="18" t="s">
        <v>18</v>
      </c>
      <c r="C7" s="10">
        <f>197.8+1022.65</f>
        <v>1220.45</v>
      </c>
      <c r="D7" s="25">
        <f>C7+сентябрь!D7</f>
        <v>11850.160000000002</v>
      </c>
      <c r="E7" s="11">
        <f>167.17+1249.13</f>
        <v>1416.3000000000002</v>
      </c>
      <c r="F7" s="25">
        <f>E7+сентябрь!F7</f>
        <v>8882.08</v>
      </c>
      <c r="G7" s="25">
        <f t="shared" si="0"/>
        <v>195.85000000000014</v>
      </c>
      <c r="H7" s="26">
        <f t="shared" si="0"/>
        <v>-2968.0800000000017</v>
      </c>
      <c r="I7" s="11"/>
      <c r="J7" s="26">
        <f>I7+сентябрь!J7</f>
        <v>0</v>
      </c>
      <c r="K7" s="10"/>
      <c r="L7" s="25">
        <f>K7+сентябрь!L7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C8+сентябрь!D8</f>
        <v>0</v>
      </c>
      <c r="E8" s="11"/>
      <c r="F8" s="25">
        <f>E8+сентябрь!F8</f>
        <v>0</v>
      </c>
      <c r="G8" s="25">
        <f t="shared" si="0"/>
        <v>0</v>
      </c>
      <c r="H8" s="26">
        <f t="shared" si="0"/>
        <v>0</v>
      </c>
      <c r="I8" s="11"/>
      <c r="J8" s="26">
        <f>I8+сентябрь!J8</f>
        <v>0</v>
      </c>
      <c r="K8" s="10"/>
      <c r="L8" s="25">
        <f>K8+сентябрь!L8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C9+сентябрь!D9</f>
        <v>0</v>
      </c>
      <c r="E9" s="11"/>
      <c r="F9" s="25">
        <f>E9+сентябрь!F9</f>
        <v>0</v>
      </c>
      <c r="G9" s="25">
        <f t="shared" si="0"/>
        <v>0</v>
      </c>
      <c r="H9" s="26">
        <f t="shared" si="0"/>
        <v>0</v>
      </c>
      <c r="I9" s="11"/>
      <c r="J9" s="26">
        <f>I9+сентябрь!J9</f>
        <v>0</v>
      </c>
      <c r="K9" s="10"/>
      <c r="L9" s="25">
        <f>K9+сентябрь!L9</f>
        <v>0</v>
      </c>
    </row>
    <row r="10" spans="1:13" ht="15.75">
      <c r="A10" s="1">
        <f t="shared" si="1"/>
        <v>8</v>
      </c>
      <c r="B10" s="17" t="s">
        <v>20</v>
      </c>
      <c r="C10" s="10">
        <f>446.54+3504.55</f>
        <v>3951.09</v>
      </c>
      <c r="D10" s="25">
        <f>C10+сентябрь!D10</f>
        <v>42179.899999999994</v>
      </c>
      <c r="E10" s="11">
        <f>390.32+4166.91</f>
        <v>4557.2299999999996</v>
      </c>
      <c r="F10" s="25">
        <f>E10+сентябрь!F10</f>
        <v>30155.46</v>
      </c>
      <c r="G10" s="25">
        <f t="shared" si="0"/>
        <v>606.13999999999942</v>
      </c>
      <c r="H10" s="26">
        <f t="shared" si="0"/>
        <v>-12024.439999999995</v>
      </c>
      <c r="I10" s="11">
        <v>1494.46</v>
      </c>
      <c r="J10" s="26">
        <f>I10+сентябрь!J10</f>
        <v>27903.21</v>
      </c>
      <c r="K10" s="10">
        <v>1494.46</v>
      </c>
      <c r="L10" s="25">
        <f>K10+сентябрь!L10</f>
        <v>26413.53</v>
      </c>
    </row>
    <row r="11" spans="1:13" ht="15.75">
      <c r="A11" s="1">
        <f t="shared" si="1"/>
        <v>9</v>
      </c>
      <c r="B11" s="17" t="s">
        <v>21</v>
      </c>
      <c r="C11" s="10">
        <v>-328.26</v>
      </c>
      <c r="D11" s="25">
        <f>C11+сентябрь!D11</f>
        <v>33583.99</v>
      </c>
      <c r="E11" s="11">
        <v>2517.8200000000002</v>
      </c>
      <c r="F11" s="25">
        <f>E11+сентябрь!F11</f>
        <v>24418.460000000003</v>
      </c>
      <c r="G11" s="25">
        <f t="shared" si="0"/>
        <v>2846.08</v>
      </c>
      <c r="H11" s="26">
        <f t="shared" si="0"/>
        <v>-9165.5299999999952</v>
      </c>
      <c r="I11" s="11">
        <v>1494.46</v>
      </c>
      <c r="J11" s="26">
        <f>I11+сентябрь!J11</f>
        <v>27903.21</v>
      </c>
      <c r="K11" s="10">
        <v>1494.46</v>
      </c>
      <c r="L11" s="25">
        <f>K11+сентябрь!L11</f>
        <v>14395.230000000003</v>
      </c>
    </row>
    <row r="12" spans="1:13" ht="15.75">
      <c r="A12" s="1">
        <f t="shared" si="1"/>
        <v>10</v>
      </c>
      <c r="B12" s="17" t="s">
        <v>22</v>
      </c>
      <c r="C12" s="10"/>
      <c r="D12" s="25">
        <f>C12+сентябрь!D12</f>
        <v>0</v>
      </c>
      <c r="E12" s="11"/>
      <c r="F12" s="25">
        <f>E12+сентябрь!F12</f>
        <v>0</v>
      </c>
      <c r="G12" s="25">
        <f t="shared" si="0"/>
        <v>0</v>
      </c>
      <c r="H12" s="26">
        <f t="shared" si="0"/>
        <v>0</v>
      </c>
      <c r="I12" s="11"/>
      <c r="J12" s="26">
        <f>I12+сентябрь!J12</f>
        <v>0</v>
      </c>
      <c r="K12" s="10"/>
      <c r="L12" s="25">
        <f>K12+сентябрь!L12</f>
        <v>0</v>
      </c>
    </row>
    <row r="13" spans="1:13" ht="15.75">
      <c r="A13" s="1">
        <f t="shared" si="1"/>
        <v>11</v>
      </c>
      <c r="B13" s="17" t="s">
        <v>23</v>
      </c>
      <c r="C13" s="10">
        <f>778.91+4027.13</f>
        <v>4806.04</v>
      </c>
      <c r="D13" s="25">
        <f>C13+сентябрь!D13</f>
        <v>46665.020000000004</v>
      </c>
      <c r="E13" s="11">
        <f>658.27+4918.9</f>
        <v>5577.17</v>
      </c>
      <c r="F13" s="25">
        <f>E13+сентябрь!F13</f>
        <v>34970.559999999998</v>
      </c>
      <c r="G13" s="25">
        <f t="shared" si="0"/>
        <v>771.13000000000011</v>
      </c>
      <c r="H13" s="26">
        <f t="shared" si="0"/>
        <v>-11694.460000000006</v>
      </c>
      <c r="I13" s="11"/>
      <c r="J13" s="26">
        <f>I13+сентябрь!J13</f>
        <v>0</v>
      </c>
      <c r="K13" s="10"/>
      <c r="L13" s="25">
        <f>K13+сентябрь!L13</f>
        <v>0</v>
      </c>
    </row>
    <row r="14" spans="1:13" ht="15.75">
      <c r="A14" s="1">
        <f t="shared" si="1"/>
        <v>12</v>
      </c>
      <c r="B14" s="17" t="s">
        <v>24</v>
      </c>
      <c r="C14" s="10">
        <f>180.93+935.4</f>
        <v>1116.33</v>
      </c>
      <c r="D14" s="25">
        <f>C14+сентябрь!D14</f>
        <v>10839.16</v>
      </c>
      <c r="E14" s="11">
        <f>152.91+1142.58</f>
        <v>1295.49</v>
      </c>
      <c r="F14" s="25">
        <f>E14+сентябрь!F14</f>
        <v>8124.3099999999995</v>
      </c>
      <c r="G14" s="25">
        <f t="shared" si="0"/>
        <v>179.16000000000008</v>
      </c>
      <c r="H14" s="26">
        <f t="shared" si="0"/>
        <v>-2714.8500000000004</v>
      </c>
      <c r="I14" s="11"/>
      <c r="J14" s="26">
        <f>I14+сентябрь!J14</f>
        <v>0</v>
      </c>
      <c r="K14" s="10"/>
      <c r="L14" s="25">
        <f>K14+сентябрь!L14</f>
        <v>0</v>
      </c>
    </row>
    <row r="15" spans="1:13" ht="15.75">
      <c r="A15" s="1">
        <f t="shared" si="1"/>
        <v>13</v>
      </c>
      <c r="B15" s="17" t="str">
        <f>сентябрь!B15</f>
        <v>Водоотведение  кв.</v>
      </c>
      <c r="C15" s="10">
        <f>446.54+3832.81</f>
        <v>4279.3500000000004</v>
      </c>
      <c r="D15" s="25">
        <f>C15+сентябрь!D15</f>
        <v>8595.91</v>
      </c>
      <c r="E15" s="11">
        <f>390.32+1649.09</f>
        <v>2039.4099999999999</v>
      </c>
      <c r="F15" s="25">
        <f>E15+сентябрь!F15</f>
        <v>2932.49</v>
      </c>
      <c r="G15" s="25">
        <f t="shared" si="0"/>
        <v>-2239.9400000000005</v>
      </c>
      <c r="H15" s="26">
        <f t="shared" si="0"/>
        <v>-5663.42</v>
      </c>
      <c r="I15" s="11"/>
      <c r="J15" s="26">
        <f>I15+сентябрь!J15</f>
        <v>0</v>
      </c>
      <c r="K15" s="10"/>
      <c r="L15" s="25">
        <f>K15+сентябрь!L15</f>
        <v>0</v>
      </c>
    </row>
    <row r="16" spans="1:13" ht="15.75">
      <c r="A16" s="1">
        <f t="shared" si="1"/>
        <v>14</v>
      </c>
      <c r="B16" s="17" t="str">
        <f>сентябрь!B16</f>
        <v>Электроснабж. Общед. Н.</v>
      </c>
      <c r="C16" s="10">
        <f>609.12+3149.16</f>
        <v>3758.2799999999997</v>
      </c>
      <c r="D16" s="25">
        <f>C16+сентябрь!D16</f>
        <v>7516.54</v>
      </c>
      <c r="E16" s="11">
        <f>643.36+1794.44</f>
        <v>2437.8000000000002</v>
      </c>
      <c r="F16" s="25">
        <f>E16+сентябрь!F16</f>
        <v>2687.42</v>
      </c>
      <c r="G16" s="25">
        <f t="shared" si="0"/>
        <v>-1320.4799999999996</v>
      </c>
      <c r="H16" s="26">
        <f t="shared" si="0"/>
        <v>-4829.12</v>
      </c>
      <c r="I16" s="11"/>
      <c r="J16" s="26">
        <f>I16+сентябрь!J16</f>
        <v>0</v>
      </c>
      <c r="K16" s="10"/>
      <c r="L16" s="25">
        <f>K16+сентябрь!L16</f>
        <v>0</v>
      </c>
    </row>
    <row r="17" spans="1:12" ht="15.75">
      <c r="A17" s="1">
        <f t="shared" si="1"/>
        <v>15</v>
      </c>
      <c r="B17" s="17" t="str">
        <f>сентябрь!B17</f>
        <v>Холодное водосн. Об/н</v>
      </c>
      <c r="C17" s="10">
        <f>256.76+1328.1</f>
        <v>1584.86</v>
      </c>
      <c r="D17" s="25">
        <f>C17+сентябрь!D17</f>
        <v>3169.5299999999997</v>
      </c>
      <c r="E17" s="11">
        <f>271.28+756.69</f>
        <v>1027.97</v>
      </c>
      <c r="F17" s="25">
        <f>E17+сентябрь!F17</f>
        <v>1133.23</v>
      </c>
      <c r="G17" s="25">
        <f t="shared" si="0"/>
        <v>-556.88999999999987</v>
      </c>
      <c r="H17" s="26">
        <f t="shared" si="0"/>
        <v>-2036.2999999999997</v>
      </c>
      <c r="I17" s="11"/>
      <c r="J17" s="26">
        <f>I17+сентябрь!J17</f>
        <v>0</v>
      </c>
      <c r="K17" s="10"/>
      <c r="L17" s="25">
        <f>K17+сентябрь!L17</f>
        <v>0</v>
      </c>
    </row>
    <row r="18" spans="1:12" ht="15.75">
      <c r="A18" s="1">
        <f t="shared" si="1"/>
        <v>16</v>
      </c>
      <c r="B18" s="17" t="str">
        <f>сентябрь!B18</f>
        <v>Водоотведение  об/н</v>
      </c>
      <c r="C18" s="10">
        <f>256.76+1328.1</f>
        <v>1584.86</v>
      </c>
      <c r="D18" s="25">
        <f>C18+сентябрь!D18</f>
        <v>3169.5299999999997</v>
      </c>
      <c r="E18" s="11">
        <f>271.28+756.69</f>
        <v>1027.97</v>
      </c>
      <c r="F18" s="25">
        <f>E18+сентябрь!F18</f>
        <v>1133.23</v>
      </c>
      <c r="G18" s="25">
        <f t="shared" si="0"/>
        <v>-556.88999999999987</v>
      </c>
      <c r="H18" s="26">
        <f t="shared" si="0"/>
        <v>-2036.2999999999997</v>
      </c>
      <c r="I18" s="11"/>
      <c r="J18" s="26">
        <f>I18+сентябрь!J18</f>
        <v>0</v>
      </c>
      <c r="K18" s="10"/>
      <c r="L18" s="25">
        <f>K18+сентябрь!L18</f>
        <v>0</v>
      </c>
    </row>
    <row r="19" spans="1:12" ht="15.75">
      <c r="A19" s="1">
        <f t="shared" si="1"/>
        <v>17</v>
      </c>
      <c r="B19" s="17" t="s">
        <v>38</v>
      </c>
      <c r="C19" s="10">
        <f>1864.73+9641.36</f>
        <v>11506.09</v>
      </c>
      <c r="D19" s="25">
        <f>C19+сентябрь!D19</f>
        <v>11506.09</v>
      </c>
      <c r="E19" s="11">
        <f>717.92+2121.66</f>
        <v>2839.58</v>
      </c>
      <c r="F19" s="25">
        <f>E19+сентябрь!F19</f>
        <v>2839.58</v>
      </c>
      <c r="G19" s="25">
        <f t="shared" si="0"/>
        <v>-8666.51</v>
      </c>
      <c r="H19" s="26">
        <f t="shared" si="0"/>
        <v>-8666.51</v>
      </c>
      <c r="I19" s="11"/>
      <c r="J19" s="26">
        <f>I19+сентябрь!J19</f>
        <v>0</v>
      </c>
      <c r="K19" s="10"/>
      <c r="L19" s="25">
        <f>K19+сентябрь!L19</f>
        <v>0</v>
      </c>
    </row>
    <row r="20" spans="1:12" ht="15.75">
      <c r="A20" s="1">
        <f t="shared" si="1"/>
        <v>18</v>
      </c>
      <c r="B20" s="17"/>
      <c r="C20" s="10"/>
      <c r="D20" s="25">
        <f>C20+сентябрь!D20</f>
        <v>0</v>
      </c>
      <c r="E20" s="11"/>
      <c r="F20" s="25">
        <f>E20+сентябрь!F20</f>
        <v>0</v>
      </c>
      <c r="G20" s="25">
        <f t="shared" si="0"/>
        <v>0</v>
      </c>
      <c r="H20" s="26">
        <f t="shared" si="0"/>
        <v>0</v>
      </c>
      <c r="I20" s="11"/>
      <c r="J20" s="26">
        <f>I20+сентябрь!J20</f>
        <v>0</v>
      </c>
      <c r="K20" s="10"/>
      <c r="L20" s="25">
        <f>K20+сентябрь!L20</f>
        <v>0</v>
      </c>
    </row>
    <row r="21" spans="1:12" ht="15.75">
      <c r="A21" s="1">
        <f t="shared" si="1"/>
        <v>19</v>
      </c>
      <c r="B21" s="17"/>
      <c r="C21" s="10"/>
      <c r="D21" s="25">
        <f>C21+сентябрь!D21</f>
        <v>0</v>
      </c>
      <c r="E21" s="11"/>
      <c r="F21" s="25">
        <f>E21+сентябрь!F21</f>
        <v>0</v>
      </c>
      <c r="G21" s="25">
        <f t="shared" si="0"/>
        <v>0</v>
      </c>
      <c r="H21" s="26">
        <f t="shared" si="0"/>
        <v>0</v>
      </c>
      <c r="I21" s="11"/>
      <c r="J21" s="26">
        <f>I21+сентябрь!J21</f>
        <v>0</v>
      </c>
      <c r="K21" s="10"/>
      <c r="L21" s="25">
        <f>K21+сентябрь!L21</f>
        <v>0</v>
      </c>
    </row>
    <row r="22" spans="1:12" ht="15.75">
      <c r="A22" s="1">
        <f t="shared" si="1"/>
        <v>20</v>
      </c>
      <c r="B22" s="17"/>
      <c r="C22" s="10"/>
      <c r="D22" s="25">
        <f>C22+сентябрь!D22</f>
        <v>0</v>
      </c>
      <c r="E22" s="11"/>
      <c r="F22" s="25">
        <f>E22+сентябрь!F22</f>
        <v>0</v>
      </c>
      <c r="G22" s="25">
        <f t="shared" si="0"/>
        <v>0</v>
      </c>
      <c r="H22" s="26">
        <f t="shared" si="0"/>
        <v>0</v>
      </c>
      <c r="I22" s="11"/>
      <c r="J22" s="26">
        <f>I22+сентябрь!J22</f>
        <v>0</v>
      </c>
      <c r="K22" s="10"/>
      <c r="L22" s="25">
        <f>K22+сентябрь!L22</f>
        <v>0</v>
      </c>
    </row>
    <row r="23" spans="1:12">
      <c r="A23" s="30"/>
      <c r="B23" s="27" t="s">
        <v>13</v>
      </c>
      <c r="C23" s="25">
        <f t="shared" ref="C23:L23" si="2">SUM(C3:C22)</f>
        <v>66783.11</v>
      </c>
      <c r="D23" s="25">
        <f t="shared" si="2"/>
        <v>410600.78</v>
      </c>
      <c r="E23" s="26">
        <f t="shared" si="2"/>
        <v>51260.61</v>
      </c>
      <c r="F23" s="25">
        <f t="shared" si="2"/>
        <v>290324.56999999989</v>
      </c>
      <c r="G23" s="25">
        <f t="shared" si="2"/>
        <v>-15522.499999999998</v>
      </c>
      <c r="H23" s="26">
        <f t="shared" si="2"/>
        <v>-120276.21000000004</v>
      </c>
      <c r="I23" s="26">
        <f t="shared" si="2"/>
        <v>39952.959999999999</v>
      </c>
      <c r="J23" s="26">
        <f t="shared" si="2"/>
        <v>445272.82</v>
      </c>
      <c r="K23" s="25">
        <f t="shared" si="2"/>
        <v>2988.92</v>
      </c>
      <c r="L23" s="25">
        <f t="shared" si="2"/>
        <v>386096.89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140625" customWidth="1"/>
    <col min="2" max="2" width="19.5703125" customWidth="1"/>
    <col min="3" max="3" width="9.28515625" bestFit="1" customWidth="1"/>
    <col min="4" max="4" width="11.42578125" customWidth="1"/>
    <col min="5" max="5" width="9.28515625" bestFit="1" customWidth="1"/>
    <col min="6" max="6" width="11.140625" customWidth="1"/>
    <col min="7" max="7" width="9.7109375" bestFit="1" customWidth="1"/>
    <col min="8" max="8" width="10.85546875" customWidth="1"/>
    <col min="9" max="9" width="9.28515625" bestFit="1" customWidth="1"/>
    <col min="10" max="10" width="11.140625" customWidth="1"/>
    <col min="11" max="11" width="9.28515625" bestFit="1" customWidth="1"/>
    <col min="12" max="12" width="11.85546875" customWidth="1"/>
    <col min="13" max="13" width="9.7109375" bestFit="1" customWidth="1"/>
  </cols>
  <sheetData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7507.24+1452.03</f>
        <v>8959.27</v>
      </c>
      <c r="D3" s="25">
        <f>C3+октябрь!D3</f>
        <v>88584.000000000015</v>
      </c>
      <c r="E3" s="11">
        <f>10354.57+559.01</f>
        <v>10913.58</v>
      </c>
      <c r="F3" s="25">
        <f>E3+октябрь!F3</f>
        <v>69837.709999999992</v>
      </c>
      <c r="G3" s="25">
        <f>E3-C3</f>
        <v>1954.3099999999995</v>
      </c>
      <c r="H3" s="26">
        <f>F3-D3</f>
        <v>-18746.290000000023</v>
      </c>
      <c r="I3" s="11"/>
      <c r="J3" s="26">
        <f>I3+октябрь!J3</f>
        <v>0</v>
      </c>
      <c r="K3" s="10"/>
      <c r="L3" s="25">
        <f>K3+октябрь!L3</f>
        <v>0</v>
      </c>
    </row>
    <row r="4" spans="1:13" ht="15.75">
      <c r="A4" s="1">
        <f>A3+1</f>
        <v>2</v>
      </c>
      <c r="B4" s="17" t="s">
        <v>15</v>
      </c>
      <c r="C4" s="10">
        <f>20399.19+3945.56</f>
        <v>24344.75</v>
      </c>
      <c r="D4" s="25">
        <f>C4+октябрь!D4</f>
        <v>176244.97</v>
      </c>
      <c r="E4" s="11">
        <f>21248.4+1518.99</f>
        <v>22767.390000000003</v>
      </c>
      <c r="F4" s="25">
        <f>E4+октябрь!F4</f>
        <v>136891.00999999998</v>
      </c>
      <c r="G4" s="25">
        <f t="shared" ref="G4:H22" si="0">E4-C4</f>
        <v>-1577.3599999999969</v>
      </c>
      <c r="H4" s="26">
        <f t="shared" si="0"/>
        <v>-39353.960000000021</v>
      </c>
      <c r="I4" s="11">
        <v>28584.69</v>
      </c>
      <c r="J4" s="26">
        <f>I4+октябрь!J4</f>
        <v>418051.08999999997</v>
      </c>
      <c r="K4" s="10">
        <v>7340.69</v>
      </c>
      <c r="L4" s="25">
        <f>K4+октябрь!L4</f>
        <v>352628.82</v>
      </c>
      <c r="M4" s="32">
        <f>L4-J4</f>
        <v>-65422.26999999996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C5+октябрь!D5</f>
        <v>0</v>
      </c>
      <c r="E5" s="11"/>
      <c r="F5" s="25">
        <f>E5+октябрь!F5</f>
        <v>0</v>
      </c>
      <c r="G5" s="25">
        <f t="shared" si="0"/>
        <v>0</v>
      </c>
      <c r="H5" s="26">
        <f t="shared" si="0"/>
        <v>0</v>
      </c>
      <c r="I5" s="11"/>
      <c r="J5" s="26">
        <f>I5+октябрь!J5</f>
        <v>0</v>
      </c>
      <c r="K5" s="10"/>
      <c r="L5" s="25">
        <f>K5+октябрь!L5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C6+октябрь!D6</f>
        <v>0</v>
      </c>
      <c r="E6" s="11"/>
      <c r="F6" s="25">
        <f>E6+октябрь!F6</f>
        <v>0</v>
      </c>
      <c r="G6" s="25">
        <f t="shared" si="0"/>
        <v>0</v>
      </c>
      <c r="H6" s="26">
        <f t="shared" si="0"/>
        <v>0</v>
      </c>
      <c r="I6" s="11"/>
      <c r="J6" s="26">
        <f>I6+октябрь!J6</f>
        <v>0</v>
      </c>
      <c r="K6" s="10"/>
      <c r="L6" s="25">
        <f>K6+октябрь!L6</f>
        <v>0</v>
      </c>
    </row>
    <row r="7" spans="1:13" ht="15.75">
      <c r="A7" s="1">
        <f t="shared" si="1"/>
        <v>5</v>
      </c>
      <c r="B7" s="18" t="s">
        <v>18</v>
      </c>
      <c r="C7" s="10">
        <f>1022.65+197.8</f>
        <v>1220.45</v>
      </c>
      <c r="D7" s="25">
        <f>C7+октябрь!D7</f>
        <v>13070.610000000002</v>
      </c>
      <c r="E7" s="11">
        <f>1485.57+76.15</f>
        <v>1561.72</v>
      </c>
      <c r="F7" s="25">
        <f>E7+октябрь!F7</f>
        <v>10443.799999999999</v>
      </c>
      <c r="G7" s="25">
        <f t="shared" si="0"/>
        <v>341.27</v>
      </c>
      <c r="H7" s="26">
        <f t="shared" si="0"/>
        <v>-2626.8100000000031</v>
      </c>
      <c r="I7" s="11"/>
      <c r="J7" s="26">
        <f>I7+октябрь!J7</f>
        <v>0</v>
      </c>
      <c r="K7" s="10"/>
      <c r="L7" s="25">
        <f>K7+октябрь!L7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C8+октябрь!D8</f>
        <v>0</v>
      </c>
      <c r="E8" s="11"/>
      <c r="F8" s="25">
        <f>E8+октябрь!F8</f>
        <v>0</v>
      </c>
      <c r="G8" s="25">
        <f t="shared" si="0"/>
        <v>0</v>
      </c>
      <c r="H8" s="26">
        <f t="shared" si="0"/>
        <v>0</v>
      </c>
      <c r="I8" s="11"/>
      <c r="J8" s="26">
        <f>I8+октябрь!J8</f>
        <v>0</v>
      </c>
      <c r="K8" s="10"/>
      <c r="L8" s="25">
        <f>K8+октябрь!L8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C9+октябрь!D9</f>
        <v>0</v>
      </c>
      <c r="E9" s="11"/>
      <c r="F9" s="25">
        <f>E9+октябрь!F9</f>
        <v>0</v>
      </c>
      <c r="G9" s="25">
        <f t="shared" si="0"/>
        <v>0</v>
      </c>
      <c r="H9" s="26">
        <f t="shared" si="0"/>
        <v>0</v>
      </c>
      <c r="I9" s="11"/>
      <c r="J9" s="26">
        <f>I9+октябрь!J9</f>
        <v>0</v>
      </c>
      <c r="K9" s="10"/>
      <c r="L9" s="25">
        <f>K9+октябрь!L9</f>
        <v>0</v>
      </c>
    </row>
    <row r="10" spans="1:13" ht="15.75">
      <c r="A10" s="1">
        <f t="shared" si="1"/>
        <v>8</v>
      </c>
      <c r="B10" s="17" t="s">
        <v>20</v>
      </c>
      <c r="C10" s="10">
        <f>3646.73+446.54</f>
        <v>4093.27</v>
      </c>
      <c r="D10" s="25">
        <f>C10+октябрь!D10</f>
        <v>46273.169999999991</v>
      </c>
      <c r="E10" s="11">
        <f>5028.66+223.27</f>
        <v>5251.93</v>
      </c>
      <c r="F10" s="25">
        <f>E10+октябрь!F10</f>
        <v>35407.39</v>
      </c>
      <c r="G10" s="25">
        <f t="shared" si="0"/>
        <v>1158.6600000000003</v>
      </c>
      <c r="H10" s="26">
        <f t="shared" si="0"/>
        <v>-10865.779999999992</v>
      </c>
      <c r="I10" s="11">
        <v>1446.24</v>
      </c>
      <c r="J10" s="26">
        <f>I10+октябрь!J10</f>
        <v>29349.45</v>
      </c>
      <c r="K10" s="10">
        <v>1446.24</v>
      </c>
      <c r="L10" s="25">
        <f>K10+октябрь!L10</f>
        <v>27859.77</v>
      </c>
    </row>
    <row r="11" spans="1:13" ht="15.75">
      <c r="A11" s="1">
        <f t="shared" si="1"/>
        <v>9</v>
      </c>
      <c r="B11" s="17" t="s">
        <v>21</v>
      </c>
      <c r="C11" s="10">
        <v>0</v>
      </c>
      <c r="D11" s="25">
        <f>C11+октябрь!D11</f>
        <v>33583.99</v>
      </c>
      <c r="E11" s="11">
        <v>1854.81</v>
      </c>
      <c r="F11" s="25">
        <f>E11+октябрь!F11</f>
        <v>26273.270000000004</v>
      </c>
      <c r="G11" s="25">
        <f t="shared" si="0"/>
        <v>1854.81</v>
      </c>
      <c r="H11" s="26">
        <f t="shared" si="0"/>
        <v>-7310.7199999999939</v>
      </c>
      <c r="I11" s="11">
        <v>1446.24</v>
      </c>
      <c r="J11" s="26">
        <f>I11+октябрь!J11</f>
        <v>29349.45</v>
      </c>
      <c r="K11" s="10">
        <v>1446.24</v>
      </c>
      <c r="L11" s="25">
        <f>K11+октябрь!L11</f>
        <v>15841.470000000003</v>
      </c>
    </row>
    <row r="12" spans="1:13" ht="15.75">
      <c r="A12" s="1">
        <f t="shared" si="1"/>
        <v>10</v>
      </c>
      <c r="B12" s="17" t="s">
        <v>22</v>
      </c>
      <c r="C12" s="10"/>
      <c r="D12" s="25">
        <f>C12+октябрь!D12</f>
        <v>0</v>
      </c>
      <c r="E12" s="11"/>
      <c r="F12" s="25">
        <f>E12+октябрь!F12</f>
        <v>0</v>
      </c>
      <c r="G12" s="25">
        <f t="shared" si="0"/>
        <v>0</v>
      </c>
      <c r="H12" s="26">
        <f t="shared" si="0"/>
        <v>0</v>
      </c>
      <c r="I12" s="11"/>
      <c r="J12" s="26">
        <f>I12+октябрь!J12</f>
        <v>0</v>
      </c>
      <c r="K12" s="10"/>
      <c r="L12" s="25">
        <f>K12+октябрь!L12</f>
        <v>0</v>
      </c>
    </row>
    <row r="13" spans="1:13" ht="15.75">
      <c r="A13" s="1">
        <f t="shared" si="1"/>
        <v>11</v>
      </c>
      <c r="B13" s="17" t="s">
        <v>23</v>
      </c>
      <c r="C13" s="10">
        <f>4027.13+778.91</f>
        <v>4806.04</v>
      </c>
      <c r="D13" s="25">
        <f>C13+октябрь!D13</f>
        <v>51471.060000000005</v>
      </c>
      <c r="E13" s="11">
        <f>5831.77+299.87</f>
        <v>6131.64</v>
      </c>
      <c r="F13" s="25">
        <f>E13+октябрь!F13</f>
        <v>41102.199999999997</v>
      </c>
      <c r="G13" s="25">
        <f t="shared" si="0"/>
        <v>1325.6000000000004</v>
      </c>
      <c r="H13" s="26">
        <f t="shared" si="0"/>
        <v>-10368.860000000008</v>
      </c>
      <c r="I13" s="11"/>
      <c r="J13" s="26">
        <f>I13+октябрь!J13</f>
        <v>0</v>
      </c>
      <c r="K13" s="10"/>
      <c r="L13" s="25">
        <f>K13+октябрь!L13</f>
        <v>0</v>
      </c>
    </row>
    <row r="14" spans="1:13" ht="15.75">
      <c r="A14" s="1">
        <f t="shared" si="1"/>
        <v>12</v>
      </c>
      <c r="B14" s="17" t="s">
        <v>24</v>
      </c>
      <c r="C14" s="10">
        <f>935.4+180.93</f>
        <v>1116.33</v>
      </c>
      <c r="D14" s="25">
        <f>C14+октябрь!D14</f>
        <v>11955.49</v>
      </c>
      <c r="E14" s="11">
        <f>1358.77+69.66</f>
        <v>1428.43</v>
      </c>
      <c r="F14" s="25">
        <f>E14+октябрь!F14</f>
        <v>9552.74</v>
      </c>
      <c r="G14" s="25">
        <f t="shared" si="0"/>
        <v>312.10000000000014</v>
      </c>
      <c r="H14" s="26">
        <f t="shared" si="0"/>
        <v>-2402.75</v>
      </c>
      <c r="I14" s="11"/>
      <c r="J14" s="26">
        <f>I14+октябрь!J14</f>
        <v>0</v>
      </c>
      <c r="K14" s="10"/>
      <c r="L14" s="25">
        <f>K14+октябрь!L14</f>
        <v>0</v>
      </c>
    </row>
    <row r="15" spans="1:13" ht="15.75">
      <c r="A15" s="1">
        <f t="shared" si="1"/>
        <v>13</v>
      </c>
      <c r="B15" s="17" t="str">
        <f>октябрь!B15</f>
        <v>Водоотведение  кв.</v>
      </c>
      <c r="C15" s="10">
        <f>3646.73+446.54</f>
        <v>4093.27</v>
      </c>
      <c r="D15" s="25">
        <f>C15+октябрь!D15</f>
        <v>12689.18</v>
      </c>
      <c r="E15" s="11">
        <f>3173.85+223.27</f>
        <v>3397.12</v>
      </c>
      <c r="F15" s="25">
        <f>E15+октябрь!F15</f>
        <v>6329.61</v>
      </c>
      <c r="G15" s="25">
        <f t="shared" si="0"/>
        <v>-696.15000000000009</v>
      </c>
      <c r="H15" s="26">
        <f t="shared" si="0"/>
        <v>-6359.5700000000006</v>
      </c>
      <c r="I15" s="11"/>
      <c r="J15" s="26">
        <f>I15+октябрь!J15</f>
        <v>0</v>
      </c>
      <c r="K15" s="10"/>
      <c r="L15" s="25">
        <f>K15+октябрь!L15</f>
        <v>0</v>
      </c>
    </row>
    <row r="16" spans="1:13" ht="15.75">
      <c r="A16" s="1">
        <f t="shared" si="1"/>
        <v>14</v>
      </c>
      <c r="B16" s="17" t="str">
        <f>октябрь!B16</f>
        <v>Электроснабж. Общед. Н.</v>
      </c>
      <c r="C16" s="10">
        <f>3149.16+609.12</f>
        <v>3758.2799999999997</v>
      </c>
      <c r="D16" s="25">
        <f>C16+октябрь!D16</f>
        <v>11274.82</v>
      </c>
      <c r="E16" s="11">
        <f>2734.85+234.52</f>
        <v>2969.37</v>
      </c>
      <c r="F16" s="25">
        <f>E16+октябрь!F16</f>
        <v>5656.79</v>
      </c>
      <c r="G16" s="25">
        <f t="shared" si="0"/>
        <v>-788.90999999999985</v>
      </c>
      <c r="H16" s="26">
        <f t="shared" si="0"/>
        <v>-5618.03</v>
      </c>
      <c r="I16" s="11"/>
      <c r="J16" s="26">
        <f>I16+октябрь!J16</f>
        <v>0</v>
      </c>
      <c r="K16" s="10"/>
      <c r="L16" s="25">
        <f>K16+октябрь!L16</f>
        <v>0</v>
      </c>
    </row>
    <row r="17" spans="1:12" ht="15.75">
      <c r="A17" s="1">
        <f t="shared" si="1"/>
        <v>15</v>
      </c>
      <c r="B17" s="17" t="str">
        <f>октябрь!B17</f>
        <v>Холодное водосн. Об/н</v>
      </c>
      <c r="C17" s="10">
        <f>1328.1+256.76</f>
        <v>1584.86</v>
      </c>
      <c r="D17" s="25">
        <f>C17+октябрь!D17</f>
        <v>4754.3899999999994</v>
      </c>
      <c r="E17" s="11">
        <f>1152.88+98.86</f>
        <v>1251.74</v>
      </c>
      <c r="F17" s="25">
        <f>E17+октябрь!F17</f>
        <v>2384.9700000000003</v>
      </c>
      <c r="G17" s="25">
        <f t="shared" si="0"/>
        <v>-333.11999999999989</v>
      </c>
      <c r="H17" s="26">
        <f t="shared" si="0"/>
        <v>-2369.4199999999992</v>
      </c>
      <c r="I17" s="11"/>
      <c r="J17" s="26">
        <f>I17+октябрь!J17</f>
        <v>0</v>
      </c>
      <c r="K17" s="10"/>
      <c r="L17" s="25">
        <f>K17+октябрь!L17</f>
        <v>0</v>
      </c>
    </row>
    <row r="18" spans="1:12" ht="15.75">
      <c r="A18" s="1">
        <f t="shared" si="1"/>
        <v>16</v>
      </c>
      <c r="B18" s="17" t="str">
        <f>октябрь!B18</f>
        <v>Водоотведение  об/н</v>
      </c>
      <c r="C18" s="10">
        <f>1328.1+256.76</f>
        <v>1584.86</v>
      </c>
      <c r="D18" s="25">
        <f>C18+октябрь!D18</f>
        <v>4754.3899999999994</v>
      </c>
      <c r="E18" s="11">
        <f>1152.88+98.86</f>
        <v>1251.74</v>
      </c>
      <c r="F18" s="25">
        <f>E18+октябрь!F18</f>
        <v>2384.9700000000003</v>
      </c>
      <c r="G18" s="25">
        <f t="shared" si="0"/>
        <v>-333.11999999999989</v>
      </c>
      <c r="H18" s="26">
        <f t="shared" si="0"/>
        <v>-2369.4199999999992</v>
      </c>
      <c r="I18" s="11"/>
      <c r="J18" s="26">
        <f>I18+октябрь!J18</f>
        <v>0</v>
      </c>
      <c r="K18" s="10"/>
      <c r="L18" s="25">
        <f>K18+октябрь!L18</f>
        <v>0</v>
      </c>
    </row>
    <row r="19" spans="1:12" ht="15.75">
      <c r="A19" s="1">
        <f t="shared" si="1"/>
        <v>17</v>
      </c>
      <c r="B19" s="17" t="str">
        <f>октябрь!B19</f>
        <v>Отопление общед.нужд.</v>
      </c>
      <c r="C19" s="10">
        <f>9641.36+1864.73</f>
        <v>11506.09</v>
      </c>
      <c r="D19" s="25">
        <f>C19+октябрь!D19</f>
        <v>23012.18</v>
      </c>
      <c r="E19" s="11">
        <f>6127.51+717.7</f>
        <v>6845.21</v>
      </c>
      <c r="F19" s="25">
        <f>E19+октябрь!F19</f>
        <v>9684.7900000000009</v>
      </c>
      <c r="G19" s="25">
        <f t="shared" si="0"/>
        <v>-4660.88</v>
      </c>
      <c r="H19" s="26">
        <f t="shared" si="0"/>
        <v>-13327.39</v>
      </c>
      <c r="I19" s="11"/>
      <c r="J19" s="26">
        <f>I19+октябрь!J19</f>
        <v>0</v>
      </c>
      <c r="K19" s="10"/>
      <c r="L19" s="25">
        <f>K19+октябрь!L19</f>
        <v>0</v>
      </c>
    </row>
    <row r="20" spans="1:12">
      <c r="A20" s="1">
        <f t="shared" si="1"/>
        <v>18</v>
      </c>
      <c r="B20" s="8"/>
      <c r="C20" s="10"/>
      <c r="D20" s="25">
        <f>C20+октябрь!D20</f>
        <v>0</v>
      </c>
      <c r="E20" s="11"/>
      <c r="F20" s="25">
        <f>E20+октябрь!F20</f>
        <v>0</v>
      </c>
      <c r="G20" s="25">
        <f t="shared" si="0"/>
        <v>0</v>
      </c>
      <c r="H20" s="26">
        <f t="shared" si="0"/>
        <v>0</v>
      </c>
      <c r="I20" s="11"/>
      <c r="J20" s="26">
        <f>I20+октябрь!J20</f>
        <v>0</v>
      </c>
      <c r="K20" s="10"/>
      <c r="L20" s="25">
        <f>K20+октябрь!L20</f>
        <v>0</v>
      </c>
    </row>
    <row r="21" spans="1:12">
      <c r="A21" s="1">
        <f t="shared" si="1"/>
        <v>19</v>
      </c>
      <c r="B21" s="8"/>
      <c r="C21" s="10"/>
      <c r="D21" s="25">
        <f>C21+октябрь!D21</f>
        <v>0</v>
      </c>
      <c r="E21" s="11"/>
      <c r="F21" s="25">
        <f>E21+октябрь!F21</f>
        <v>0</v>
      </c>
      <c r="G21" s="25">
        <f t="shared" si="0"/>
        <v>0</v>
      </c>
      <c r="H21" s="26">
        <f t="shared" si="0"/>
        <v>0</v>
      </c>
      <c r="I21" s="11"/>
      <c r="J21" s="26">
        <f>I21+октябрь!J21</f>
        <v>0</v>
      </c>
      <c r="K21" s="10"/>
      <c r="L21" s="25">
        <f>K21+октябрь!L21</f>
        <v>0</v>
      </c>
    </row>
    <row r="22" spans="1:12">
      <c r="A22" s="1">
        <f t="shared" si="1"/>
        <v>20</v>
      </c>
      <c r="B22" s="8"/>
      <c r="C22" s="10"/>
      <c r="D22" s="25">
        <f>C22+октябрь!D22</f>
        <v>0</v>
      </c>
      <c r="E22" s="11"/>
      <c r="F22" s="25">
        <f>E22+октябрь!F22</f>
        <v>0</v>
      </c>
      <c r="G22" s="25">
        <f t="shared" si="0"/>
        <v>0</v>
      </c>
      <c r="H22" s="26">
        <f t="shared" si="0"/>
        <v>0</v>
      </c>
      <c r="I22" s="11"/>
      <c r="J22" s="26">
        <f>I22+октябрь!J22</f>
        <v>0</v>
      </c>
      <c r="K22" s="10"/>
      <c r="L22" s="25">
        <f>K22+октябрь!L22</f>
        <v>0</v>
      </c>
    </row>
    <row r="23" spans="1:12">
      <c r="A23" s="30"/>
      <c r="B23" s="27" t="s">
        <v>13</v>
      </c>
      <c r="C23" s="25">
        <f t="shared" ref="C23:L23" si="2">SUM(C3:C22)</f>
        <v>67067.47</v>
      </c>
      <c r="D23" s="25">
        <f t="shared" si="2"/>
        <v>477668.25</v>
      </c>
      <c r="E23" s="26">
        <f t="shared" si="2"/>
        <v>65624.680000000008</v>
      </c>
      <c r="F23" s="25">
        <f t="shared" si="2"/>
        <v>355949.24999999988</v>
      </c>
      <c r="G23" s="25">
        <f t="shared" si="2"/>
        <v>-1442.7899999999963</v>
      </c>
      <c r="H23" s="26">
        <f t="shared" si="2"/>
        <v>-121719.00000000004</v>
      </c>
      <c r="I23" s="26">
        <f t="shared" si="2"/>
        <v>31477.170000000002</v>
      </c>
      <c r="J23" s="26">
        <f t="shared" si="2"/>
        <v>476749.99</v>
      </c>
      <c r="K23" s="25">
        <f t="shared" si="2"/>
        <v>10233.17</v>
      </c>
      <c r="L23" s="25">
        <f t="shared" si="2"/>
        <v>396330.06000000006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P8" sqref="P8"/>
    </sheetView>
  </sheetViews>
  <sheetFormatPr defaultRowHeight="12.75"/>
  <cols>
    <col min="1" max="1" width="3.7109375" customWidth="1"/>
    <col min="2" max="2" width="26.5703125" customWidth="1"/>
    <col min="3" max="3" width="9.28515625" bestFit="1" customWidth="1"/>
    <col min="4" max="4" width="10.28515625" customWidth="1"/>
    <col min="5" max="5" width="9.28515625" bestFit="1" customWidth="1"/>
    <col min="6" max="6" width="10.28515625" customWidth="1"/>
    <col min="7" max="7" width="9.7109375" bestFit="1" customWidth="1"/>
    <col min="8" max="8" width="11" customWidth="1"/>
    <col min="9" max="9" width="9.28515625" hidden="1" customWidth="1"/>
    <col min="10" max="10" width="11" hidden="1" customWidth="1"/>
    <col min="11" max="11" width="9.28515625" hidden="1" customWidth="1"/>
    <col min="12" max="12" width="10.7109375" hidden="1" customWidth="1"/>
    <col min="13" max="13" width="0.140625" customWidth="1"/>
  </cols>
  <sheetData>
    <row r="1" spans="1:13" ht="15.75">
      <c r="D1" s="33" t="s">
        <v>29</v>
      </c>
    </row>
    <row r="2" spans="1:13" ht="1.5" customHeight="1"/>
    <row r="3" spans="1:13" ht="38.25">
      <c r="A3" s="35" t="s">
        <v>0</v>
      </c>
      <c r="B3" s="36" t="s">
        <v>1</v>
      </c>
      <c r="C3" s="37" t="s">
        <v>2</v>
      </c>
      <c r="D3" s="38" t="s">
        <v>3</v>
      </c>
      <c r="E3" s="36" t="s">
        <v>4</v>
      </c>
      <c r="F3" s="38" t="s">
        <v>5</v>
      </c>
      <c r="G3" s="38" t="s">
        <v>6</v>
      </c>
      <c r="H3" s="38" t="s">
        <v>7</v>
      </c>
      <c r="I3" s="7" t="s">
        <v>8</v>
      </c>
      <c r="J3" s="29" t="s">
        <v>9</v>
      </c>
      <c r="K3" s="6" t="s">
        <v>10</v>
      </c>
      <c r="L3" s="28" t="s">
        <v>11</v>
      </c>
    </row>
    <row r="4" spans="1:13" ht="15.75">
      <c r="A4" s="1">
        <v>1</v>
      </c>
      <c r="B4" s="17" t="s">
        <v>14</v>
      </c>
      <c r="C4" s="10">
        <f>7507.24+1452.03</f>
        <v>8959.27</v>
      </c>
      <c r="D4" s="25">
        <f>C4+ноябрь!D3</f>
        <v>97543.270000000019</v>
      </c>
      <c r="E4" s="11">
        <f>6568.68+1195.33</f>
        <v>7764.01</v>
      </c>
      <c r="F4" s="25">
        <f>E4+ноябрь!F3</f>
        <v>77601.719999999987</v>
      </c>
      <c r="G4" s="25">
        <f>E4-C4</f>
        <v>-1195.2600000000002</v>
      </c>
      <c r="H4" s="26">
        <f>F4-D4</f>
        <v>-19941.550000000032</v>
      </c>
      <c r="I4" s="11"/>
      <c r="J4" s="26">
        <f>I4+ноябрь!J3</f>
        <v>0</v>
      </c>
      <c r="K4" s="10"/>
      <c r="L4" s="25">
        <f>ноябрь!L3</f>
        <v>0</v>
      </c>
    </row>
    <row r="5" spans="1:13" ht="15.75">
      <c r="A5" s="1">
        <f>A4+1</f>
        <v>2</v>
      </c>
      <c r="B5" s="17" t="s">
        <v>15</v>
      </c>
      <c r="C5" s="10">
        <f>20399.19+3945.56</f>
        <v>24344.75</v>
      </c>
      <c r="D5" s="25">
        <f>C5+ноябрь!D4</f>
        <v>200589.72</v>
      </c>
      <c r="E5" s="11">
        <f>15379.85+3248.03</f>
        <v>18627.88</v>
      </c>
      <c r="F5" s="25">
        <f>E5+ноябрь!F4</f>
        <v>155518.88999999998</v>
      </c>
      <c r="G5" s="25">
        <f t="shared" ref="G5:H23" si="0">E5-C5</f>
        <v>-5716.869999999999</v>
      </c>
      <c r="H5" s="26">
        <f t="shared" si="0"/>
        <v>-45070.830000000016</v>
      </c>
      <c r="I5" s="11">
        <v>44896.75</v>
      </c>
      <c r="J5" s="26">
        <f>I5+ноябрь!J4</f>
        <v>462947.83999999997</v>
      </c>
      <c r="K5" s="10"/>
      <c r="L5" s="25">
        <f>ноябрь!L4</f>
        <v>352628.82</v>
      </c>
      <c r="M5" s="32">
        <f>L5-J5</f>
        <v>-110319.01999999996</v>
      </c>
    </row>
    <row r="6" spans="1:13" ht="15.75">
      <c r="A6" s="1">
        <f t="shared" ref="A6:A23" si="1">A5+1</f>
        <v>3</v>
      </c>
      <c r="B6" s="17" t="s">
        <v>16</v>
      </c>
      <c r="C6" s="10"/>
      <c r="D6" s="25">
        <f>C6+ноябрь!D5</f>
        <v>0</v>
      </c>
      <c r="E6" s="11"/>
      <c r="F6" s="25">
        <f>E6+ноябрь!F5</f>
        <v>0</v>
      </c>
      <c r="G6" s="25">
        <f t="shared" si="0"/>
        <v>0</v>
      </c>
      <c r="H6" s="26">
        <f t="shared" si="0"/>
        <v>0</v>
      </c>
      <c r="I6" s="11"/>
      <c r="J6" s="26">
        <f>I6+ноябрь!J5</f>
        <v>0</v>
      </c>
      <c r="K6" s="10"/>
      <c r="L6" s="25">
        <f>ноябрь!L5</f>
        <v>0</v>
      </c>
    </row>
    <row r="7" spans="1:13" ht="15.75">
      <c r="A7" s="1">
        <f t="shared" si="1"/>
        <v>4</v>
      </c>
      <c r="B7" s="17" t="s">
        <v>17</v>
      </c>
      <c r="C7" s="10"/>
      <c r="D7" s="25">
        <f>C7+ноябрь!D6</f>
        <v>0</v>
      </c>
      <c r="E7" s="11"/>
      <c r="F7" s="25">
        <f>E7+ноябрь!F6</f>
        <v>0</v>
      </c>
      <c r="G7" s="25">
        <f t="shared" si="0"/>
        <v>0</v>
      </c>
      <c r="H7" s="26">
        <f t="shared" si="0"/>
        <v>0</v>
      </c>
      <c r="I7" s="11"/>
      <c r="J7" s="26">
        <f>I7+ноябрь!J6</f>
        <v>0</v>
      </c>
      <c r="K7" s="10"/>
      <c r="L7" s="25">
        <f>ноябрь!L6</f>
        <v>0</v>
      </c>
    </row>
    <row r="8" spans="1:13" ht="15.75">
      <c r="A8" s="1">
        <f t="shared" si="1"/>
        <v>5</v>
      </c>
      <c r="B8" s="18" t="s">
        <v>18</v>
      </c>
      <c r="C8" s="10">
        <f>1022.65+197.8</f>
        <v>1220.45</v>
      </c>
      <c r="D8" s="25">
        <f>C8+ноябрь!D7</f>
        <v>14291.060000000003</v>
      </c>
      <c r="E8" s="11">
        <f>934.61+162.83</f>
        <v>1097.44</v>
      </c>
      <c r="F8" s="25">
        <f>E8+ноябрь!F7</f>
        <v>11541.24</v>
      </c>
      <c r="G8" s="25">
        <f t="shared" si="0"/>
        <v>-123.00999999999999</v>
      </c>
      <c r="H8" s="26">
        <f t="shared" si="0"/>
        <v>-2749.8200000000033</v>
      </c>
      <c r="I8" s="11"/>
      <c r="J8" s="26">
        <f>I8+ноябрь!J7</f>
        <v>0</v>
      </c>
      <c r="K8" s="10"/>
      <c r="L8" s="25">
        <f>ноябрь!L7</f>
        <v>0</v>
      </c>
    </row>
    <row r="9" spans="1:13" ht="15.75">
      <c r="A9" s="1">
        <f t="shared" si="1"/>
        <v>6</v>
      </c>
      <c r="B9" s="17" t="s">
        <v>28</v>
      </c>
      <c r="C9" s="10"/>
      <c r="D9" s="25">
        <f>C9+ноябрь!D8</f>
        <v>0</v>
      </c>
      <c r="E9" s="11"/>
      <c r="F9" s="25">
        <f>E9+ноябрь!F8</f>
        <v>0</v>
      </c>
      <c r="G9" s="25">
        <f t="shared" si="0"/>
        <v>0</v>
      </c>
      <c r="H9" s="26">
        <f t="shared" si="0"/>
        <v>0</v>
      </c>
      <c r="I9" s="11"/>
      <c r="J9" s="26">
        <f>I9+ноябрь!J8</f>
        <v>0</v>
      </c>
      <c r="K9" s="10"/>
      <c r="L9" s="25">
        <f>ноябрь!L8</f>
        <v>0</v>
      </c>
    </row>
    <row r="10" spans="1:13" ht="15.75">
      <c r="A10" s="1">
        <f t="shared" si="1"/>
        <v>7</v>
      </c>
      <c r="B10" s="17" t="s">
        <v>19</v>
      </c>
      <c r="C10" s="10"/>
      <c r="D10" s="25">
        <f>C10+ноябрь!D9</f>
        <v>0</v>
      </c>
      <c r="E10" s="11"/>
      <c r="F10" s="25">
        <f>E10+ноябрь!F9</f>
        <v>0</v>
      </c>
      <c r="G10" s="25">
        <f t="shared" si="0"/>
        <v>0</v>
      </c>
      <c r="H10" s="26">
        <f t="shared" si="0"/>
        <v>0</v>
      </c>
      <c r="I10" s="11"/>
      <c r="J10" s="26">
        <f>I10+ноябрь!J9</f>
        <v>0</v>
      </c>
      <c r="K10" s="10"/>
      <c r="L10" s="25">
        <f>ноябрь!L9</f>
        <v>0</v>
      </c>
    </row>
    <row r="11" spans="1:13" ht="15.75">
      <c r="A11" s="1">
        <f t="shared" si="1"/>
        <v>8</v>
      </c>
      <c r="B11" s="17" t="s">
        <v>20</v>
      </c>
      <c r="C11" s="10">
        <f>3870.02+372.12</f>
        <v>4242.1400000000003</v>
      </c>
      <c r="D11" s="25">
        <f>C11+ноябрь!D10</f>
        <v>50515.30999999999</v>
      </c>
      <c r="E11" s="11">
        <f>3797.72+382.36</f>
        <v>4180.08</v>
      </c>
      <c r="F11" s="25">
        <f>E11+ноябрь!F10</f>
        <v>39587.47</v>
      </c>
      <c r="G11" s="25">
        <f t="shared" si="0"/>
        <v>-62.0600000000004</v>
      </c>
      <c r="H11" s="26">
        <f t="shared" si="0"/>
        <v>-10927.839999999989</v>
      </c>
      <c r="I11" s="11">
        <v>1494.46</v>
      </c>
      <c r="J11" s="26">
        <f>I11+ноябрь!J10</f>
        <v>30843.91</v>
      </c>
      <c r="K11" s="10">
        <v>1494.46</v>
      </c>
      <c r="L11" s="25">
        <f>ноябрь!L10</f>
        <v>27859.77</v>
      </c>
    </row>
    <row r="12" spans="1:13" ht="15.75">
      <c r="A12" s="1">
        <f t="shared" si="1"/>
        <v>9</v>
      </c>
      <c r="B12" s="17" t="s">
        <v>21</v>
      </c>
      <c r="C12" s="10">
        <v>0</v>
      </c>
      <c r="D12" s="25">
        <f>C12+ноябрь!D11</f>
        <v>33583.99</v>
      </c>
      <c r="E12" s="11">
        <v>1617.32</v>
      </c>
      <c r="F12" s="25">
        <f>E12+ноябрь!F11</f>
        <v>27890.590000000004</v>
      </c>
      <c r="G12" s="25">
        <f t="shared" si="0"/>
        <v>1617.32</v>
      </c>
      <c r="H12" s="26">
        <f t="shared" si="0"/>
        <v>-5693.3999999999942</v>
      </c>
      <c r="I12" s="11">
        <v>1494.46</v>
      </c>
      <c r="J12" s="26">
        <f>I12+ноябрь!J11</f>
        <v>30843.91</v>
      </c>
      <c r="K12" s="10">
        <v>1494.46</v>
      </c>
      <c r="L12" s="25">
        <f>ноябрь!L11</f>
        <v>15841.470000000003</v>
      </c>
    </row>
    <row r="13" spans="1:13" ht="15.75">
      <c r="A13" s="1">
        <f t="shared" si="1"/>
        <v>10</v>
      </c>
      <c r="B13" s="17" t="s">
        <v>22</v>
      </c>
      <c r="C13" s="10"/>
      <c r="D13" s="25">
        <f>C13+ноябрь!D12</f>
        <v>0</v>
      </c>
      <c r="E13" s="11"/>
      <c r="F13" s="25">
        <f>E13+ноябрь!F12</f>
        <v>0</v>
      </c>
      <c r="G13" s="25">
        <f t="shared" si="0"/>
        <v>0</v>
      </c>
      <c r="H13" s="26">
        <f t="shared" si="0"/>
        <v>0</v>
      </c>
      <c r="I13" s="11"/>
      <c r="J13" s="26">
        <f>I13+ноябрь!J12</f>
        <v>0</v>
      </c>
      <c r="K13" s="10"/>
      <c r="L13" s="25">
        <f>ноябрь!L12</f>
        <v>0</v>
      </c>
    </row>
    <row r="14" spans="1:13" ht="15.75">
      <c r="A14" s="1">
        <f t="shared" si="1"/>
        <v>11</v>
      </c>
      <c r="B14" s="17" t="s">
        <v>23</v>
      </c>
      <c r="C14" s="10">
        <f>4027.13+778.91</f>
        <v>4806.04</v>
      </c>
      <c r="D14" s="25">
        <f>C14+ноябрь!D13</f>
        <v>56277.100000000006</v>
      </c>
      <c r="E14" s="11">
        <f>3680.37+641.21</f>
        <v>4321.58</v>
      </c>
      <c r="F14" s="25">
        <f>E14+ноябрь!F13</f>
        <v>45423.78</v>
      </c>
      <c r="G14" s="25">
        <f t="shared" si="0"/>
        <v>-484.46000000000004</v>
      </c>
      <c r="H14" s="26">
        <f t="shared" si="0"/>
        <v>-10853.320000000007</v>
      </c>
      <c r="I14" s="11"/>
      <c r="J14" s="26">
        <f>I14+ноябрь!J13</f>
        <v>0</v>
      </c>
      <c r="K14" s="10"/>
      <c r="L14" s="25">
        <f>ноябрь!L13</f>
        <v>0</v>
      </c>
    </row>
    <row r="15" spans="1:13" ht="15.75">
      <c r="A15" s="1">
        <f t="shared" si="1"/>
        <v>12</v>
      </c>
      <c r="B15" s="17" t="s">
        <v>24</v>
      </c>
      <c r="C15" s="10">
        <f>935.4+180.93</f>
        <v>1116.33</v>
      </c>
      <c r="D15" s="25">
        <f>C15+ноябрь!D14</f>
        <v>13071.82</v>
      </c>
      <c r="E15" s="11">
        <f>854.84+148.94</f>
        <v>1003.78</v>
      </c>
      <c r="F15" s="25">
        <f>E15+ноябрь!F14</f>
        <v>10556.52</v>
      </c>
      <c r="G15" s="25">
        <f t="shared" si="0"/>
        <v>-112.54999999999995</v>
      </c>
      <c r="H15" s="26">
        <f t="shared" si="0"/>
        <v>-2515.2999999999993</v>
      </c>
      <c r="I15" s="11"/>
      <c r="J15" s="26">
        <f>I15+ноябрь!J14</f>
        <v>0</v>
      </c>
      <c r="K15" s="10"/>
      <c r="L15" s="25">
        <f>ноябрь!L14</f>
        <v>0</v>
      </c>
    </row>
    <row r="16" spans="1:13" ht="15.75">
      <c r="A16" s="1">
        <f t="shared" si="1"/>
        <v>13</v>
      </c>
      <c r="B16" s="17" t="str">
        <f>ноябрь!B15</f>
        <v>Водоотведение  кв.</v>
      </c>
      <c r="C16" s="10">
        <f>3870.02+372.12</f>
        <v>4242.1400000000003</v>
      </c>
      <c r="D16" s="25">
        <f>C16+ноябрь!D15</f>
        <v>16931.32</v>
      </c>
      <c r="E16" s="11">
        <f>2180.4+382.36</f>
        <v>2562.7600000000002</v>
      </c>
      <c r="F16" s="25">
        <f>E16+ноябрь!F15</f>
        <v>8892.369999999999</v>
      </c>
      <c r="G16" s="25">
        <f t="shared" si="0"/>
        <v>-1679.38</v>
      </c>
      <c r="H16" s="26">
        <f t="shared" si="0"/>
        <v>-8038.9500000000007</v>
      </c>
      <c r="I16" s="11"/>
      <c r="J16" s="26">
        <f>I16+ноябрь!J15</f>
        <v>0</v>
      </c>
      <c r="K16" s="10"/>
      <c r="L16" s="25">
        <f>ноябрь!L15</f>
        <v>0</v>
      </c>
    </row>
    <row r="17" spans="1:12" ht="15.75">
      <c r="A17" s="1">
        <f t="shared" si="1"/>
        <v>14</v>
      </c>
      <c r="B17" s="17" t="s">
        <v>39</v>
      </c>
      <c r="C17" s="10">
        <f>390.88+75.62</f>
        <v>466.5</v>
      </c>
      <c r="D17" s="25">
        <f>C17+ноябрь!D16</f>
        <v>11741.32</v>
      </c>
      <c r="E17" s="11">
        <f>1640.3+501.44</f>
        <v>2141.7399999999998</v>
      </c>
      <c r="F17" s="25">
        <f>E17+ноябрь!F16</f>
        <v>7798.53</v>
      </c>
      <c r="G17" s="25">
        <f t="shared" si="0"/>
        <v>1675.2399999999998</v>
      </c>
      <c r="H17" s="26">
        <f t="shared" si="0"/>
        <v>-3942.79</v>
      </c>
      <c r="I17" s="11"/>
      <c r="J17" s="26">
        <f>I17+ноябрь!J16</f>
        <v>0</v>
      </c>
      <c r="K17" s="10"/>
      <c r="L17" s="25">
        <f>ноябрь!L16</f>
        <v>0</v>
      </c>
    </row>
    <row r="18" spans="1:12" ht="15.75">
      <c r="A18" s="1">
        <f t="shared" si="1"/>
        <v>15</v>
      </c>
      <c r="B18" s="17" t="str">
        <f>ноябрь!B17</f>
        <v>Холодное водосн. Об/н</v>
      </c>
      <c r="C18" s="10">
        <f>164.25+31.89</f>
        <v>196.14</v>
      </c>
      <c r="D18" s="25">
        <f>C18+ноябрь!D17</f>
        <v>4950.53</v>
      </c>
      <c r="E18" s="11">
        <f>691.39+211.37</f>
        <v>902.76</v>
      </c>
      <c r="F18" s="25">
        <f>E18+ноябрь!F17</f>
        <v>3287.7300000000005</v>
      </c>
      <c r="G18" s="25">
        <f t="shared" si="0"/>
        <v>706.62</v>
      </c>
      <c r="H18" s="26">
        <f t="shared" si="0"/>
        <v>-1662.7999999999993</v>
      </c>
      <c r="I18" s="11"/>
      <c r="J18" s="26">
        <f>I18+ноябрь!J17</f>
        <v>0</v>
      </c>
      <c r="K18" s="10"/>
      <c r="L18" s="25">
        <f>ноябрь!L17</f>
        <v>0</v>
      </c>
    </row>
    <row r="19" spans="1:12" ht="15.75">
      <c r="A19" s="1">
        <f t="shared" si="1"/>
        <v>16</v>
      </c>
      <c r="B19" s="17" t="str">
        <f>ноябрь!B18</f>
        <v>Водоотведение  об/н</v>
      </c>
      <c r="C19" s="10">
        <f>164.25+31.89</f>
        <v>196.14</v>
      </c>
      <c r="D19" s="25">
        <f>C19+ноябрь!D18</f>
        <v>4950.53</v>
      </c>
      <c r="E19" s="11">
        <f>691.39+211.37</f>
        <v>902.76</v>
      </c>
      <c r="F19" s="25">
        <f>E19+ноябрь!F18</f>
        <v>3287.7300000000005</v>
      </c>
      <c r="G19" s="25">
        <f t="shared" si="0"/>
        <v>706.62</v>
      </c>
      <c r="H19" s="26">
        <f t="shared" si="0"/>
        <v>-1662.7999999999993</v>
      </c>
      <c r="I19" s="11"/>
      <c r="J19" s="26">
        <f>I19+ноябрь!J18</f>
        <v>0</v>
      </c>
      <c r="K19" s="10"/>
      <c r="L19" s="25">
        <f>ноябрь!L18</f>
        <v>0</v>
      </c>
    </row>
    <row r="20" spans="1:12" ht="15.75">
      <c r="A20" s="1">
        <f t="shared" si="1"/>
        <v>17</v>
      </c>
      <c r="B20" s="17" t="str">
        <f>ноябрь!B19</f>
        <v>Отопление общед.нужд.</v>
      </c>
      <c r="C20" s="10">
        <f>1197.22+231.59</f>
        <v>1428.81</v>
      </c>
      <c r="D20" s="25">
        <f>C20+ноябрь!D19</f>
        <v>24440.99</v>
      </c>
      <c r="E20" s="11">
        <f>4593.9+1535.04</f>
        <v>6128.94</v>
      </c>
      <c r="F20" s="25">
        <f>E20+ноябрь!F19</f>
        <v>15813.73</v>
      </c>
      <c r="G20" s="25">
        <f t="shared" si="0"/>
        <v>4700.1299999999992</v>
      </c>
      <c r="H20" s="26">
        <f t="shared" si="0"/>
        <v>-8627.260000000002</v>
      </c>
      <c r="I20" s="11"/>
      <c r="J20" s="26">
        <f>I20+ноябрь!J19</f>
        <v>0</v>
      </c>
      <c r="K20" s="10"/>
      <c r="L20" s="25">
        <f>ноябрь!L19</f>
        <v>0</v>
      </c>
    </row>
    <row r="21" spans="1:12">
      <c r="A21" s="1">
        <f t="shared" si="1"/>
        <v>18</v>
      </c>
      <c r="B21" s="8"/>
      <c r="C21" s="10"/>
      <c r="D21" s="25">
        <f>C21+ноябрь!D20</f>
        <v>0</v>
      </c>
      <c r="E21" s="11"/>
      <c r="F21" s="25">
        <f>E21+ноябрь!F20</f>
        <v>0</v>
      </c>
      <c r="G21" s="25">
        <f t="shared" si="0"/>
        <v>0</v>
      </c>
      <c r="H21" s="26">
        <f t="shared" si="0"/>
        <v>0</v>
      </c>
      <c r="I21" s="11"/>
      <c r="J21" s="26">
        <f>I21+ноябрь!J20</f>
        <v>0</v>
      </c>
      <c r="K21" s="10"/>
      <c r="L21" s="25">
        <f>ноябрь!L20</f>
        <v>0</v>
      </c>
    </row>
    <row r="22" spans="1:12">
      <c r="A22" s="1">
        <f t="shared" si="1"/>
        <v>19</v>
      </c>
      <c r="B22" s="8"/>
      <c r="C22" s="10"/>
      <c r="D22" s="25">
        <f>C22+ноябрь!D21</f>
        <v>0</v>
      </c>
      <c r="E22" s="11"/>
      <c r="F22" s="25">
        <f>E22+ноябрь!F21</f>
        <v>0</v>
      </c>
      <c r="G22" s="25">
        <f t="shared" si="0"/>
        <v>0</v>
      </c>
      <c r="H22" s="26">
        <f t="shared" si="0"/>
        <v>0</v>
      </c>
      <c r="I22" s="11"/>
      <c r="J22" s="26">
        <f>I22+ноябрь!J21</f>
        <v>0</v>
      </c>
      <c r="K22" s="10"/>
      <c r="L22" s="25">
        <f>ноябрь!L21</f>
        <v>0</v>
      </c>
    </row>
    <row r="23" spans="1:12">
      <c r="A23" s="1">
        <f t="shared" si="1"/>
        <v>20</v>
      </c>
      <c r="B23" s="8"/>
      <c r="C23" s="10"/>
      <c r="D23" s="25">
        <f>C23+ноябрь!D22</f>
        <v>0</v>
      </c>
      <c r="E23" s="11"/>
      <c r="F23" s="25">
        <f>E23+ноябрь!F22</f>
        <v>0</v>
      </c>
      <c r="G23" s="25">
        <f t="shared" si="0"/>
        <v>0</v>
      </c>
      <c r="H23" s="26">
        <f t="shared" si="0"/>
        <v>0</v>
      </c>
      <c r="I23" s="11"/>
      <c r="J23" s="26">
        <f>I23+ноябрь!J22</f>
        <v>0</v>
      </c>
      <c r="K23" s="10"/>
      <c r="L23" s="25">
        <f>ноябрь!L22</f>
        <v>0</v>
      </c>
    </row>
    <row r="24" spans="1:12">
      <c r="A24" s="30"/>
      <c r="B24" s="27" t="s">
        <v>13</v>
      </c>
      <c r="C24" s="25">
        <f t="shared" ref="C24:L24" si="2">SUM(C4:C23)</f>
        <v>51218.71</v>
      </c>
      <c r="D24" s="25">
        <f t="shared" si="2"/>
        <v>528886.96000000008</v>
      </c>
      <c r="E24" s="26">
        <f t="shared" si="2"/>
        <v>51251.05</v>
      </c>
      <c r="F24" s="25">
        <f t="shared" si="2"/>
        <v>407200.29999999993</v>
      </c>
      <c r="G24" s="25">
        <f t="shared" si="2"/>
        <v>32.339999999998327</v>
      </c>
      <c r="H24" s="26">
        <f t="shared" si="2"/>
        <v>-121686.66000000003</v>
      </c>
      <c r="I24" s="26">
        <f t="shared" si="2"/>
        <v>47885.67</v>
      </c>
      <c r="J24" s="26">
        <f t="shared" si="2"/>
        <v>524635.65999999992</v>
      </c>
      <c r="K24" s="25">
        <f t="shared" si="2"/>
        <v>2988.92</v>
      </c>
      <c r="L24" s="25">
        <f t="shared" si="2"/>
        <v>396330.06000000006</v>
      </c>
    </row>
    <row r="26" spans="1:12" ht="15.75">
      <c r="A26" s="34" t="s">
        <v>40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K34" sqref="K34"/>
    </sheetView>
  </sheetViews>
  <sheetFormatPr defaultRowHeight="12.75"/>
  <cols>
    <col min="1" max="1" width="4.140625" customWidth="1"/>
    <col min="2" max="2" width="21" customWidth="1"/>
  </cols>
  <sheetData>
    <row r="2" spans="1:12">
      <c r="A2" s="1" t="s">
        <v>0</v>
      </c>
      <c r="B2" s="6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6" t="s">
        <v>10</v>
      </c>
      <c r="L2" s="6" t="s">
        <v>11</v>
      </c>
    </row>
    <row r="3" spans="1:12" ht="15.75">
      <c r="A3" s="1">
        <v>1</v>
      </c>
      <c r="B3" s="17" t="s">
        <v>14</v>
      </c>
      <c r="C3" s="10">
        <f>5972.63</f>
        <v>5972.63</v>
      </c>
      <c r="D3" s="10">
        <f>Декабрь11!D4+Январь!C3</f>
        <v>7180.26</v>
      </c>
      <c r="E3" s="11">
        <f>4287.83</f>
        <v>4287.83</v>
      </c>
      <c r="F3" s="10">
        <f>Декабрь11!E4+Январь!E3</f>
        <v>4876.2699999999995</v>
      </c>
      <c r="G3" s="10">
        <f>E3-C3</f>
        <v>-1684.8000000000002</v>
      </c>
      <c r="H3" s="11">
        <f>F3-D3</f>
        <v>-2303.9900000000007</v>
      </c>
      <c r="I3" s="11"/>
      <c r="J3" s="11">
        <f>Декабрь11!J4+Январь!I3</f>
        <v>0</v>
      </c>
      <c r="K3" s="10"/>
      <c r="L3" s="10">
        <f>K3+Декабрь11!L4</f>
        <v>0</v>
      </c>
    </row>
    <row r="4" spans="1:12" ht="15.75">
      <c r="A4" s="1">
        <f>A3+1</f>
        <v>2</v>
      </c>
      <c r="B4" s="17" t="s">
        <v>15</v>
      </c>
      <c r="C4" s="10">
        <f>12798.68</f>
        <v>12798.68</v>
      </c>
      <c r="D4" s="10">
        <f>Декабрь11!D5+Январь!C4</f>
        <v>14615.140000000001</v>
      </c>
      <c r="E4" s="11">
        <f>8583.05</f>
        <v>8583.0499999999993</v>
      </c>
      <c r="F4" s="10">
        <f>Декабрь11!E5+Январь!E4</f>
        <v>9925.9</v>
      </c>
      <c r="G4" s="10">
        <f t="shared" ref="G4:H22" si="0">E4-C4</f>
        <v>-4215.630000000001</v>
      </c>
      <c r="H4" s="11">
        <f t="shared" si="0"/>
        <v>-4689.2400000000016</v>
      </c>
      <c r="I4" s="11"/>
      <c r="J4" s="11">
        <f>Декабрь11!J5+Январь!I4</f>
        <v>51045.57</v>
      </c>
      <c r="K4" s="10"/>
      <c r="L4" s="10"/>
    </row>
    <row r="5" spans="1:12" ht="15.75">
      <c r="A5" s="1">
        <f t="shared" ref="A5:A22" si="1">A4+1</f>
        <v>3</v>
      </c>
      <c r="B5" s="17" t="s">
        <v>16</v>
      </c>
      <c r="C5" s="10"/>
      <c r="D5" s="10">
        <f>Декабрь11!D6+Январь!C5</f>
        <v>0</v>
      </c>
      <c r="E5" s="11"/>
      <c r="F5" s="10">
        <f>Декабрь11!E6+Январь!E5</f>
        <v>0</v>
      </c>
      <c r="G5" s="10">
        <f t="shared" si="0"/>
        <v>0</v>
      </c>
      <c r="H5" s="11">
        <f t="shared" si="0"/>
        <v>0</v>
      </c>
      <c r="I5" s="11"/>
      <c r="J5" s="11">
        <f>Декабрь11!J6+Январь!I5</f>
        <v>0</v>
      </c>
      <c r="K5" s="10"/>
      <c r="L5" s="10"/>
    </row>
    <row r="6" spans="1:12" ht="15.75">
      <c r="A6" s="1">
        <f t="shared" si="1"/>
        <v>4</v>
      </c>
      <c r="B6" s="17" t="s">
        <v>17</v>
      </c>
      <c r="C6" s="10"/>
      <c r="D6" s="10">
        <f>Декабрь11!D7+Январь!C6</f>
        <v>0</v>
      </c>
      <c r="E6" s="11"/>
      <c r="F6" s="10">
        <f>Декабрь11!E7+Январь!E6</f>
        <v>0</v>
      </c>
      <c r="G6" s="10">
        <f t="shared" si="0"/>
        <v>0</v>
      </c>
      <c r="H6" s="11">
        <f t="shared" si="0"/>
        <v>0</v>
      </c>
      <c r="I6" s="11"/>
      <c r="J6" s="11">
        <f>Декабрь11!J7+Январь!I6</f>
        <v>0</v>
      </c>
      <c r="K6" s="10"/>
      <c r="L6" s="10"/>
    </row>
    <row r="7" spans="1:12" ht="15.75">
      <c r="A7" s="1">
        <f t="shared" si="1"/>
        <v>5</v>
      </c>
      <c r="B7" s="18" t="s">
        <v>18</v>
      </c>
      <c r="C7" s="10">
        <f>960.71</f>
        <v>960.71</v>
      </c>
      <c r="D7" s="10">
        <f>Декабрь11!D8+Январь!C7</f>
        <v>1094.8800000000001</v>
      </c>
      <c r="E7" s="11">
        <f>689.71</f>
        <v>689.71</v>
      </c>
      <c r="F7" s="10">
        <f>Декабрь11!E8+Январь!E7</f>
        <v>743.58999999999992</v>
      </c>
      <c r="G7" s="10">
        <f t="shared" si="0"/>
        <v>-271</v>
      </c>
      <c r="H7" s="11">
        <f t="shared" si="0"/>
        <v>-351.29000000000019</v>
      </c>
      <c r="I7" s="11"/>
      <c r="J7" s="11">
        <f>Декабрь11!J8+Январь!I7</f>
        <v>0</v>
      </c>
      <c r="K7" s="10"/>
      <c r="L7" s="10"/>
    </row>
    <row r="8" spans="1:12" ht="15.75">
      <c r="A8" s="1">
        <f t="shared" si="1"/>
        <v>6</v>
      </c>
      <c r="B8" s="17" t="s">
        <v>28</v>
      </c>
      <c r="C8" s="10"/>
      <c r="D8" s="10">
        <f>Декабрь11!D9+Январь!C8</f>
        <v>0</v>
      </c>
      <c r="E8" s="11"/>
      <c r="F8" s="10">
        <f>Декабрь11!E9+Январь!E8</f>
        <v>0</v>
      </c>
      <c r="G8" s="10">
        <f t="shared" si="0"/>
        <v>0</v>
      </c>
      <c r="H8" s="11">
        <f t="shared" si="0"/>
        <v>0</v>
      </c>
      <c r="I8" s="11"/>
      <c r="J8" s="11">
        <f>Декабрь11!J9+Январь!I8</f>
        <v>0</v>
      </c>
      <c r="K8" s="10"/>
      <c r="L8" s="10"/>
    </row>
    <row r="9" spans="1:12" ht="15.75">
      <c r="A9" s="1">
        <f t="shared" si="1"/>
        <v>7</v>
      </c>
      <c r="B9" s="17" t="s">
        <v>19</v>
      </c>
      <c r="C9" s="10"/>
      <c r="D9" s="10">
        <f>Декабрь11!D10+Январь!C9</f>
        <v>0</v>
      </c>
      <c r="E9" s="11"/>
      <c r="F9" s="10">
        <f>Декабрь11!E10+Январь!E9</f>
        <v>0</v>
      </c>
      <c r="G9" s="10">
        <f t="shared" si="0"/>
        <v>0</v>
      </c>
      <c r="H9" s="11">
        <f t="shared" si="0"/>
        <v>0</v>
      </c>
      <c r="I9" s="11"/>
      <c r="J9" s="11">
        <f>Декабрь11!J10+Январь!I9</f>
        <v>0</v>
      </c>
      <c r="K9" s="10"/>
      <c r="L9" s="10"/>
    </row>
    <row r="10" spans="1:12" ht="15.75">
      <c r="A10" s="1">
        <f t="shared" si="1"/>
        <v>8</v>
      </c>
      <c r="B10" s="17" t="s">
        <v>20</v>
      </c>
      <c r="C10" s="10">
        <f>3413.39</f>
        <v>3413.39</v>
      </c>
      <c r="D10" s="10">
        <f>Декабрь11!D11+Январь!C10</f>
        <v>3825.12</v>
      </c>
      <c r="E10" s="11">
        <f>1927.05</f>
        <v>1927.05</v>
      </c>
      <c r="F10" s="10">
        <f>Декабрь11!E11+Январь!E10</f>
        <v>2791.18</v>
      </c>
      <c r="G10" s="10">
        <f t="shared" si="0"/>
        <v>-1486.34</v>
      </c>
      <c r="H10" s="11">
        <f t="shared" si="0"/>
        <v>-1033.94</v>
      </c>
      <c r="I10" s="11"/>
      <c r="J10" s="11">
        <f>Декабрь11!J11+Январь!I10</f>
        <v>15662.99</v>
      </c>
      <c r="K10" s="10"/>
      <c r="L10" s="10"/>
    </row>
    <row r="11" spans="1:12" ht="15.75">
      <c r="A11" s="1">
        <f t="shared" si="1"/>
        <v>9</v>
      </c>
      <c r="B11" s="17" t="s">
        <v>21</v>
      </c>
      <c r="C11" s="10">
        <f>3413.39</f>
        <v>3413.39</v>
      </c>
      <c r="D11" s="10">
        <f>Декабрь11!D12+Январь!C11</f>
        <v>3825.12</v>
      </c>
      <c r="E11" s="11">
        <f>1927.05</f>
        <v>1927.05</v>
      </c>
      <c r="F11" s="10">
        <f>Декабрь11!E12+Январь!E11</f>
        <v>2791.18</v>
      </c>
      <c r="G11" s="10">
        <f t="shared" si="0"/>
        <v>-1486.34</v>
      </c>
      <c r="H11" s="11">
        <f t="shared" si="0"/>
        <v>-1033.94</v>
      </c>
      <c r="I11" s="11"/>
      <c r="J11" s="11">
        <f>Декабрь11!J12+Январь!I11</f>
        <v>15662.99</v>
      </c>
      <c r="K11" s="10"/>
      <c r="L11" s="10"/>
    </row>
    <row r="12" spans="1:12" ht="15.75">
      <c r="A12" s="1">
        <f t="shared" si="1"/>
        <v>10</v>
      </c>
      <c r="B12" s="17" t="s">
        <v>22</v>
      </c>
      <c r="C12" s="10"/>
      <c r="D12" s="10">
        <f>Декабрь11!D13+Январь!C12</f>
        <v>0</v>
      </c>
      <c r="E12" s="11"/>
      <c r="F12" s="10">
        <f>Декабрь11!E13+Январь!E12</f>
        <v>0</v>
      </c>
      <c r="G12" s="10">
        <f t="shared" si="0"/>
        <v>0</v>
      </c>
      <c r="H12" s="11">
        <f t="shared" si="0"/>
        <v>0</v>
      </c>
      <c r="I12" s="11"/>
      <c r="J12" s="11">
        <f>Декабрь11!J13+Январь!I12</f>
        <v>0</v>
      </c>
      <c r="K12" s="10"/>
      <c r="L12" s="10"/>
    </row>
    <row r="13" spans="1:12" ht="15.75">
      <c r="A13" s="1">
        <f t="shared" si="1"/>
        <v>11</v>
      </c>
      <c r="B13" s="17" t="s">
        <v>23</v>
      </c>
      <c r="C13" s="10">
        <f>3693.83</f>
        <v>3693.83</v>
      </c>
      <c r="D13" s="10">
        <f>Декабрь11!D14+Январь!C13</f>
        <v>4311.57</v>
      </c>
      <c r="E13" s="11">
        <f>2651.83</f>
        <v>2651.83</v>
      </c>
      <c r="F13" s="10">
        <f>Декабрь11!E14+Январь!E13</f>
        <v>2928.1499999999996</v>
      </c>
      <c r="G13" s="10">
        <f t="shared" si="0"/>
        <v>-1042</v>
      </c>
      <c r="H13" s="11">
        <f t="shared" si="0"/>
        <v>-1383.42</v>
      </c>
      <c r="I13" s="11"/>
      <c r="J13" s="11">
        <f>Декабрь11!J14+Январь!I13</f>
        <v>0</v>
      </c>
      <c r="K13" s="10"/>
      <c r="L13" s="10"/>
    </row>
    <row r="14" spans="1:12" ht="15.75">
      <c r="A14" s="1">
        <f t="shared" si="1"/>
        <v>12</v>
      </c>
      <c r="B14" s="17" t="s">
        <v>24</v>
      </c>
      <c r="C14" s="10">
        <f>878.75</f>
        <v>878.75</v>
      </c>
      <c r="D14" s="10">
        <f>Декабрь11!D15+Январь!C14</f>
        <v>1001.47</v>
      </c>
      <c r="E14" s="11">
        <f>630.87</f>
        <v>630.87</v>
      </c>
      <c r="F14" s="10">
        <f>Декабрь11!E15+Январь!E14</f>
        <v>680.14</v>
      </c>
      <c r="G14" s="10">
        <f t="shared" si="0"/>
        <v>-247.88</v>
      </c>
      <c r="H14" s="11">
        <f t="shared" si="0"/>
        <v>-321.33000000000004</v>
      </c>
      <c r="I14" s="11"/>
      <c r="J14" s="11">
        <f>Декабрь11!J15+Январь!I14</f>
        <v>0</v>
      </c>
      <c r="K14" s="10"/>
      <c r="L14" s="10"/>
    </row>
    <row r="15" spans="1:12" ht="15.75">
      <c r="A15" s="1">
        <f t="shared" si="1"/>
        <v>13</v>
      </c>
      <c r="B15" s="17" t="s">
        <v>25</v>
      </c>
      <c r="C15" s="10"/>
      <c r="D15" s="10">
        <f>Декабрь11!D16+Январь!C15</f>
        <v>0</v>
      </c>
      <c r="E15" s="11"/>
      <c r="F15" s="10">
        <f>Декабрь11!E16+Январь!E15</f>
        <v>0</v>
      </c>
      <c r="G15" s="10">
        <f t="shared" si="0"/>
        <v>0</v>
      </c>
      <c r="H15" s="11">
        <f t="shared" si="0"/>
        <v>0</v>
      </c>
      <c r="I15" s="11"/>
      <c r="J15" s="11">
        <f>Декабрь11!J16+Январь!I15</f>
        <v>0</v>
      </c>
      <c r="K15" s="10"/>
      <c r="L15" s="10"/>
    </row>
    <row r="16" spans="1:12" ht="15.75">
      <c r="A16" s="1">
        <f t="shared" si="1"/>
        <v>14</v>
      </c>
      <c r="B16" s="17" t="s">
        <v>26</v>
      </c>
      <c r="C16" s="10"/>
      <c r="D16" s="10">
        <f>Декабрь11!D17+Январь!C16</f>
        <v>0</v>
      </c>
      <c r="E16" s="11"/>
      <c r="F16" s="10">
        <f>Декабрь11!E17+Январь!E16</f>
        <v>0</v>
      </c>
      <c r="G16" s="10">
        <f t="shared" si="0"/>
        <v>0</v>
      </c>
      <c r="H16" s="11">
        <f t="shared" si="0"/>
        <v>0</v>
      </c>
      <c r="I16" s="11"/>
      <c r="J16" s="11">
        <f>Декабрь11!J17+Январь!I16</f>
        <v>0</v>
      </c>
      <c r="K16" s="10"/>
      <c r="L16" s="10"/>
    </row>
    <row r="17" spans="1:12" ht="15.75">
      <c r="A17" s="1">
        <f t="shared" si="1"/>
        <v>15</v>
      </c>
      <c r="B17" s="17" t="s">
        <v>27</v>
      </c>
      <c r="C17" s="10"/>
      <c r="D17" s="10">
        <f>Декабрь11!D18+Январь!C17</f>
        <v>0</v>
      </c>
      <c r="E17" s="11"/>
      <c r="F17" s="10">
        <f>Декабрь11!E18+Январь!E17</f>
        <v>0</v>
      </c>
      <c r="G17" s="10">
        <f t="shared" si="0"/>
        <v>0</v>
      </c>
      <c r="H17" s="11">
        <f t="shared" si="0"/>
        <v>0</v>
      </c>
      <c r="I17" s="11"/>
      <c r="J17" s="11">
        <f>Декабрь11!J18+Январь!I17</f>
        <v>0</v>
      </c>
      <c r="K17" s="10"/>
      <c r="L17" s="10"/>
    </row>
    <row r="18" spans="1:12">
      <c r="A18" s="1">
        <f t="shared" si="1"/>
        <v>16</v>
      </c>
      <c r="B18" s="8"/>
      <c r="C18" s="10"/>
      <c r="D18" s="10">
        <f>Декабрь11!D19+Январь!C18</f>
        <v>0</v>
      </c>
      <c r="E18" s="11"/>
      <c r="F18" s="10">
        <f>Декабрь11!E19+Январь!E18</f>
        <v>0</v>
      </c>
      <c r="G18" s="10">
        <f t="shared" si="0"/>
        <v>0</v>
      </c>
      <c r="H18" s="11">
        <f t="shared" si="0"/>
        <v>0</v>
      </c>
      <c r="I18" s="11"/>
      <c r="J18" s="11">
        <f>Декабрь11!J19+Январь!I18</f>
        <v>0</v>
      </c>
      <c r="K18" s="10"/>
      <c r="L18" s="10"/>
    </row>
    <row r="19" spans="1:12">
      <c r="A19" s="1">
        <f t="shared" si="1"/>
        <v>17</v>
      </c>
      <c r="B19" s="8"/>
      <c r="C19" s="10"/>
      <c r="D19" s="10">
        <f>Декабрь11!D20+Январь!C19</f>
        <v>0</v>
      </c>
      <c r="E19" s="11"/>
      <c r="F19" s="10">
        <f>Декабрь11!E20+Январь!E19</f>
        <v>0</v>
      </c>
      <c r="G19" s="10">
        <f t="shared" si="0"/>
        <v>0</v>
      </c>
      <c r="H19" s="11">
        <f t="shared" si="0"/>
        <v>0</v>
      </c>
      <c r="I19" s="11"/>
      <c r="J19" s="11">
        <f>Декабрь11!J20+Январь!I19</f>
        <v>0</v>
      </c>
      <c r="K19" s="10"/>
      <c r="L19" s="10"/>
    </row>
    <row r="20" spans="1:12">
      <c r="A20" s="1">
        <f t="shared" si="1"/>
        <v>18</v>
      </c>
      <c r="B20" s="8"/>
      <c r="C20" s="10"/>
      <c r="D20" s="10">
        <f>Декабрь11!D21+Январь!C20</f>
        <v>0</v>
      </c>
      <c r="E20" s="11"/>
      <c r="F20" s="10">
        <f>Декабрь11!E21+Январь!E20</f>
        <v>0</v>
      </c>
      <c r="G20" s="10">
        <f t="shared" si="0"/>
        <v>0</v>
      </c>
      <c r="H20" s="11">
        <f t="shared" si="0"/>
        <v>0</v>
      </c>
      <c r="I20" s="11"/>
      <c r="J20" s="11">
        <f>Декабрь11!J21+Январь!I20</f>
        <v>0</v>
      </c>
      <c r="K20" s="10"/>
      <c r="L20" s="10"/>
    </row>
    <row r="21" spans="1:12">
      <c r="A21" s="1">
        <f t="shared" si="1"/>
        <v>19</v>
      </c>
      <c r="B21" s="8"/>
      <c r="C21" s="10"/>
      <c r="D21" s="10">
        <f>Декабрь11!D22+Январь!C21</f>
        <v>0</v>
      </c>
      <c r="E21" s="11"/>
      <c r="F21" s="10">
        <f>Декабрь11!E22+Январь!E21</f>
        <v>0</v>
      </c>
      <c r="G21" s="10">
        <f t="shared" si="0"/>
        <v>0</v>
      </c>
      <c r="H21" s="11">
        <f t="shared" si="0"/>
        <v>0</v>
      </c>
      <c r="I21" s="11"/>
      <c r="J21" s="11">
        <f>Декабрь11!J22+Январь!I21</f>
        <v>0</v>
      </c>
      <c r="K21" s="10"/>
      <c r="L21" s="10"/>
    </row>
    <row r="22" spans="1:12">
      <c r="A22" s="1">
        <f t="shared" si="1"/>
        <v>20</v>
      </c>
      <c r="B22" s="8"/>
      <c r="C22" s="10"/>
      <c r="D22" s="10">
        <f>Декабрь11!D23+Январь!C22</f>
        <v>0</v>
      </c>
      <c r="E22" s="11"/>
      <c r="F22" s="10">
        <f>Декабрь11!E23+Январь!E22</f>
        <v>0</v>
      </c>
      <c r="G22" s="10">
        <f t="shared" si="0"/>
        <v>0</v>
      </c>
      <c r="H22" s="11">
        <f t="shared" si="0"/>
        <v>0</v>
      </c>
      <c r="I22" s="11"/>
      <c r="J22" s="11">
        <f>Декабрь11!J23+Январь!I22</f>
        <v>0</v>
      </c>
      <c r="K22" s="10"/>
      <c r="L22" s="10"/>
    </row>
    <row r="23" spans="1:12">
      <c r="A23" s="1"/>
      <c r="B23" s="8" t="s">
        <v>13</v>
      </c>
      <c r="C23" s="10">
        <f t="shared" ref="C23:L23" si="2">SUM(C3:C22)</f>
        <v>31131.379999999997</v>
      </c>
      <c r="D23" s="10">
        <f t="shared" si="2"/>
        <v>35853.56</v>
      </c>
      <c r="E23" s="11">
        <f t="shared" si="2"/>
        <v>20697.389999999996</v>
      </c>
      <c r="F23" s="10">
        <f t="shared" si="2"/>
        <v>24736.409999999996</v>
      </c>
      <c r="G23" s="10">
        <f t="shared" si="2"/>
        <v>-10433.99</v>
      </c>
      <c r="H23" s="11">
        <f t="shared" si="2"/>
        <v>-11117.150000000003</v>
      </c>
      <c r="I23" s="11">
        <f t="shared" si="2"/>
        <v>0</v>
      </c>
      <c r="J23" s="11">
        <f t="shared" si="2"/>
        <v>82371.55</v>
      </c>
      <c r="K23" s="10">
        <f t="shared" si="2"/>
        <v>0</v>
      </c>
      <c r="L23" s="10">
        <f t="shared" si="2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5.7109375" customWidth="1"/>
    <col min="2" max="2" width="27.28515625" customWidth="1"/>
    <col min="3" max="3" width="11.140625" customWidth="1"/>
    <col min="4" max="4" width="13.28515625" customWidth="1"/>
    <col min="5" max="5" width="13.7109375" customWidth="1"/>
    <col min="6" max="6" width="9.28515625" bestFit="1" customWidth="1"/>
    <col min="7" max="7" width="9.7109375" bestFit="1" customWidth="1"/>
    <col min="8" max="8" width="11.140625" customWidth="1"/>
    <col min="9" max="9" width="9.28515625" bestFit="1" customWidth="1"/>
    <col min="10" max="10" width="10.85546875" customWidth="1"/>
    <col min="11" max="12" width="9.28515625" bestFit="1" customWidth="1"/>
    <col min="13" max="13" width="10.7109375" customWidth="1"/>
  </cols>
  <sheetData>
    <row r="2" spans="1:13" ht="18" customHeight="1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5883.09+1297.17</f>
        <v>7180.26</v>
      </c>
      <c r="D3" s="25">
        <f>Декабрь11!D4+Январь!C3</f>
        <v>7180.26</v>
      </c>
      <c r="E3" s="11">
        <f>3511.91+1364.36</f>
        <v>4876.2699999999995</v>
      </c>
      <c r="F3" s="25">
        <f>Декабрь11!E4+Январь!E3</f>
        <v>4876.2699999999995</v>
      </c>
      <c r="G3" s="25">
        <f>E3-C3</f>
        <v>-2303.9900000000007</v>
      </c>
      <c r="H3" s="26">
        <f>F3-D3</f>
        <v>-2303.9900000000007</v>
      </c>
      <c r="I3" s="11"/>
      <c r="J3" s="26">
        <f>Декабрь11!J4+Январь!I3</f>
        <v>0</v>
      </c>
      <c r="K3" s="10"/>
      <c r="L3" s="25">
        <f>K3+Декабрь11!L4</f>
        <v>0</v>
      </c>
    </row>
    <row r="4" spans="1:13" ht="15.75">
      <c r="A4" s="1">
        <f>A3+1</f>
        <v>2</v>
      </c>
      <c r="B4" s="17" t="s">
        <v>15</v>
      </c>
      <c r="C4" s="10">
        <f>11974.79+2640.35</f>
        <v>14615.140000000001</v>
      </c>
      <c r="D4" s="25">
        <f>Декабрь11!D5+Январь!C4</f>
        <v>14615.140000000001</v>
      </c>
      <c r="E4" s="11">
        <f>7148.78+2777.12</f>
        <v>9925.9</v>
      </c>
      <c r="F4" s="25">
        <f>Декабрь11!E5+Январь!E4</f>
        <v>9925.9</v>
      </c>
      <c r="G4" s="25">
        <f t="shared" ref="G4:G22" si="0">E4-C4</f>
        <v>-4689.2400000000016</v>
      </c>
      <c r="H4" s="26">
        <f t="shared" ref="H4:H22" si="1">F4-D4</f>
        <v>-4689.2400000000016</v>
      </c>
      <c r="I4" s="11">
        <v>51045.57</v>
      </c>
      <c r="J4" s="26">
        <f>Декабрь11!J5+Январь!I4</f>
        <v>51045.57</v>
      </c>
      <c r="K4" s="10">
        <v>13424.07</v>
      </c>
      <c r="L4" s="25">
        <f>K4+Декабрь11!L5</f>
        <v>13424.07</v>
      </c>
      <c r="M4" s="32">
        <f>L4-J4</f>
        <v>-37621.5</v>
      </c>
    </row>
    <row r="5" spans="1:13" ht="15.75">
      <c r="A5" s="1">
        <f t="shared" ref="A5:A22" si="2">A4+1</f>
        <v>3</v>
      </c>
      <c r="B5" s="17" t="s">
        <v>16</v>
      </c>
      <c r="C5" s="10"/>
      <c r="D5" s="25">
        <f>Декабрь11!D6+Январь!C5</f>
        <v>0</v>
      </c>
      <c r="E5" s="11"/>
      <c r="F5" s="25">
        <f>Декабрь11!E6+Январь!E5</f>
        <v>0</v>
      </c>
      <c r="G5" s="25">
        <f t="shared" si="0"/>
        <v>0</v>
      </c>
      <c r="H5" s="26">
        <f t="shared" si="1"/>
        <v>0</v>
      </c>
      <c r="I5" s="11"/>
      <c r="J5" s="26">
        <f>Декабрь11!J6+Январь!I5</f>
        <v>0</v>
      </c>
      <c r="K5" s="10"/>
      <c r="L5" s="25">
        <f>K5+Декабрь11!L6</f>
        <v>0</v>
      </c>
    </row>
    <row r="6" spans="1:13" ht="15.75">
      <c r="A6" s="1">
        <f t="shared" si="2"/>
        <v>4</v>
      </c>
      <c r="B6" s="17" t="s">
        <v>17</v>
      </c>
      <c r="C6" s="10"/>
      <c r="D6" s="25">
        <f>Декабрь11!D7+Январь!C6</f>
        <v>0</v>
      </c>
      <c r="E6" s="11"/>
      <c r="F6" s="25">
        <f>Декабрь11!E7+Январь!E6</f>
        <v>0</v>
      </c>
      <c r="G6" s="25">
        <f t="shared" si="0"/>
        <v>0</v>
      </c>
      <c r="H6" s="26">
        <f t="shared" si="1"/>
        <v>0</v>
      </c>
      <c r="I6" s="11"/>
      <c r="J6" s="26">
        <f>Декабрь11!J7+Январь!I6</f>
        <v>0</v>
      </c>
      <c r="K6" s="10"/>
      <c r="L6" s="25">
        <f>K6+Декабрь11!L7</f>
        <v>0</v>
      </c>
    </row>
    <row r="7" spans="1:13" ht="15.75">
      <c r="A7" s="1">
        <f t="shared" si="2"/>
        <v>5</v>
      </c>
      <c r="B7" s="18" t="s">
        <v>18</v>
      </c>
      <c r="C7" s="10">
        <f>897.08+197.8</f>
        <v>1094.8800000000001</v>
      </c>
      <c r="D7" s="25">
        <f>Декабрь11!D8+Январь!C7</f>
        <v>1094.8800000000001</v>
      </c>
      <c r="E7" s="11">
        <f>535.54+208.05</f>
        <v>743.58999999999992</v>
      </c>
      <c r="F7" s="25">
        <f>Декабрь11!E8+Январь!E7</f>
        <v>743.58999999999992</v>
      </c>
      <c r="G7" s="25">
        <f t="shared" si="0"/>
        <v>-351.29000000000019</v>
      </c>
      <c r="H7" s="26">
        <f t="shared" si="1"/>
        <v>-351.29000000000019</v>
      </c>
      <c r="I7" s="11"/>
      <c r="J7" s="26">
        <f>Декабрь11!J8+Январь!I7</f>
        <v>0</v>
      </c>
      <c r="K7" s="10"/>
      <c r="L7" s="25">
        <f>K7+Декабрь11!L8</f>
        <v>0</v>
      </c>
    </row>
    <row r="8" spans="1:13" ht="15.75">
      <c r="A8" s="1">
        <f t="shared" si="2"/>
        <v>6</v>
      </c>
      <c r="B8" s="17" t="s">
        <v>28</v>
      </c>
      <c r="C8" s="10"/>
      <c r="D8" s="25">
        <f>Декабрь11!D9+Январь!C8</f>
        <v>0</v>
      </c>
      <c r="E8" s="11"/>
      <c r="F8" s="25">
        <f>Декабрь11!E9+Январь!E8</f>
        <v>0</v>
      </c>
      <c r="G8" s="25">
        <f t="shared" si="0"/>
        <v>0</v>
      </c>
      <c r="H8" s="26">
        <f t="shared" si="1"/>
        <v>0</v>
      </c>
      <c r="I8" s="11"/>
      <c r="J8" s="26">
        <f>Декабрь11!J9+Январь!I8</f>
        <v>0</v>
      </c>
      <c r="K8" s="10"/>
      <c r="L8" s="25">
        <f>K8+Декабрь11!L9</f>
        <v>0</v>
      </c>
    </row>
    <row r="9" spans="1:13" ht="15.75">
      <c r="A9" s="1">
        <f t="shared" si="2"/>
        <v>7</v>
      </c>
      <c r="B9" s="17" t="s">
        <v>19</v>
      </c>
      <c r="C9" s="10"/>
      <c r="D9" s="25">
        <f>Декабрь11!D10+Январь!C9</f>
        <v>0</v>
      </c>
      <c r="E9" s="11"/>
      <c r="F9" s="25">
        <f>Декабрь11!E10+Январь!E9</f>
        <v>0</v>
      </c>
      <c r="G9" s="25">
        <f t="shared" si="0"/>
        <v>0</v>
      </c>
      <c r="H9" s="26">
        <f t="shared" si="1"/>
        <v>0</v>
      </c>
      <c r="I9" s="11"/>
      <c r="J9" s="26">
        <f>Декабрь11!J10+Январь!I9</f>
        <v>0</v>
      </c>
      <c r="K9" s="10"/>
      <c r="L9" s="25">
        <f>K9+Декабрь11!L10</f>
        <v>0</v>
      </c>
    </row>
    <row r="10" spans="1:13" ht="15.75">
      <c r="A10" s="1">
        <f t="shared" si="2"/>
        <v>8</v>
      </c>
      <c r="B10" s="17" t="s">
        <v>20</v>
      </c>
      <c r="C10" s="10">
        <f>3346.98+478.14</f>
        <v>3825.12</v>
      </c>
      <c r="D10" s="25">
        <f>Декабрь11!D11+Январь!C10</f>
        <v>3825.12</v>
      </c>
      <c r="E10" s="11">
        <f>2441.37+349.81</f>
        <v>2791.18</v>
      </c>
      <c r="F10" s="25">
        <f>Декабрь11!E11+Январь!E10</f>
        <v>2791.18</v>
      </c>
      <c r="G10" s="25">
        <f t="shared" si="0"/>
        <v>-1033.94</v>
      </c>
      <c r="H10" s="26">
        <f t="shared" si="1"/>
        <v>-1033.94</v>
      </c>
      <c r="I10" s="11">
        <v>15662.99</v>
      </c>
      <c r="J10" s="26">
        <f>Декабрь11!J11+Январь!I10</f>
        <v>15662.99</v>
      </c>
      <c r="K10" s="10">
        <v>14278.41</v>
      </c>
      <c r="L10" s="25">
        <f>K10+Декабрь11!L11</f>
        <v>14278.41</v>
      </c>
    </row>
    <row r="11" spans="1:13" ht="15.75">
      <c r="A11" s="1">
        <f t="shared" si="2"/>
        <v>9</v>
      </c>
      <c r="B11" s="17" t="s">
        <v>21</v>
      </c>
      <c r="C11" s="10">
        <v>3825.12</v>
      </c>
      <c r="D11" s="25">
        <f>Декабрь11!D12+Январь!C11</f>
        <v>3825.12</v>
      </c>
      <c r="E11" s="11">
        <v>2791.18</v>
      </c>
      <c r="F11" s="25">
        <f>Декабрь11!E12+Январь!E11</f>
        <v>2791.18</v>
      </c>
      <c r="G11" s="25">
        <f t="shared" si="0"/>
        <v>-1033.94</v>
      </c>
      <c r="H11" s="26">
        <f t="shared" si="1"/>
        <v>-1033.94</v>
      </c>
      <c r="I11" s="11">
        <v>15662.99</v>
      </c>
      <c r="J11" s="26">
        <f>Декабрь11!J12+Январь!I11</f>
        <v>15662.99</v>
      </c>
      <c r="K11" s="10">
        <v>4813.43</v>
      </c>
      <c r="L11" s="25">
        <f>K11+Декабрь11!L12</f>
        <v>4813.43</v>
      </c>
    </row>
    <row r="12" spans="1:13" ht="15.75">
      <c r="A12" s="1">
        <f t="shared" si="2"/>
        <v>10</v>
      </c>
      <c r="B12" s="17" t="s">
        <v>22</v>
      </c>
      <c r="C12" s="10"/>
      <c r="D12" s="25">
        <f>Декабрь11!D13+Январь!C12</f>
        <v>0</v>
      </c>
      <c r="E12" s="11"/>
      <c r="F12" s="25">
        <f>Декабрь11!E13+Январь!E12</f>
        <v>0</v>
      </c>
      <c r="G12" s="25">
        <f t="shared" si="0"/>
        <v>0</v>
      </c>
      <c r="H12" s="26">
        <f t="shared" si="1"/>
        <v>0</v>
      </c>
      <c r="I12" s="11"/>
      <c r="J12" s="26">
        <f>Декабрь11!J13+Январь!I12</f>
        <v>0</v>
      </c>
      <c r="K12" s="10"/>
      <c r="L12" s="25">
        <f>K12+Декабрь11!L13</f>
        <v>0</v>
      </c>
    </row>
    <row r="13" spans="1:13" ht="15.75">
      <c r="A13" s="1">
        <f t="shared" si="2"/>
        <v>11</v>
      </c>
      <c r="B13" s="17" t="s">
        <v>23</v>
      </c>
      <c r="C13" s="10">
        <f>3532.65+778.92</f>
        <v>4311.57</v>
      </c>
      <c r="D13" s="25">
        <f>Декабрь11!D14+Январь!C13</f>
        <v>4311.57</v>
      </c>
      <c r="E13" s="11">
        <f>2108.89+819.26</f>
        <v>2928.1499999999996</v>
      </c>
      <c r="F13" s="25">
        <f>Декабрь11!E14+Январь!E13</f>
        <v>2928.1499999999996</v>
      </c>
      <c r="G13" s="25">
        <f t="shared" si="0"/>
        <v>-1383.42</v>
      </c>
      <c r="H13" s="26">
        <f t="shared" si="1"/>
        <v>-1383.42</v>
      </c>
      <c r="I13" s="11"/>
      <c r="J13" s="26">
        <f>Декабрь11!J14+Январь!I13</f>
        <v>0</v>
      </c>
      <c r="K13" s="10"/>
      <c r="L13" s="25">
        <f>K13+Декабрь11!L14</f>
        <v>0</v>
      </c>
    </row>
    <row r="14" spans="1:13" ht="15.75">
      <c r="A14" s="1">
        <f t="shared" si="2"/>
        <v>12</v>
      </c>
      <c r="B14" s="17" t="s">
        <v>24</v>
      </c>
      <c r="C14" s="10">
        <f>820.54+180.93</f>
        <v>1001.47</v>
      </c>
      <c r="D14" s="25">
        <f>Декабрь11!D15+Январь!C14</f>
        <v>1001.47</v>
      </c>
      <c r="E14" s="11">
        <f>489.84+190.3</f>
        <v>680.14</v>
      </c>
      <c r="F14" s="25">
        <f>Декабрь11!E15+Январь!E14</f>
        <v>680.14</v>
      </c>
      <c r="G14" s="25">
        <f t="shared" si="0"/>
        <v>-321.33000000000004</v>
      </c>
      <c r="H14" s="26">
        <f t="shared" si="1"/>
        <v>-321.33000000000004</v>
      </c>
      <c r="I14" s="11"/>
      <c r="J14" s="26">
        <f>Декабрь11!J15+Январь!I14</f>
        <v>0</v>
      </c>
      <c r="K14" s="10"/>
      <c r="L14" s="25">
        <f>K14+Декабрь11!L15</f>
        <v>0</v>
      </c>
    </row>
    <row r="15" spans="1:13" ht="15.75">
      <c r="A15" s="1">
        <f t="shared" si="2"/>
        <v>13</v>
      </c>
      <c r="B15" s="17" t="s">
        <v>25</v>
      </c>
      <c r="C15" s="10"/>
      <c r="D15" s="25">
        <f>Декабрь11!D16+Январь!C15</f>
        <v>0</v>
      </c>
      <c r="E15" s="11"/>
      <c r="F15" s="25">
        <f>Декабрь11!E16+Январь!E15</f>
        <v>0</v>
      </c>
      <c r="G15" s="25">
        <f t="shared" si="0"/>
        <v>0</v>
      </c>
      <c r="H15" s="26">
        <f t="shared" si="1"/>
        <v>0</v>
      </c>
      <c r="I15" s="11"/>
      <c r="J15" s="26">
        <f>Декабрь11!J16+Январь!I15</f>
        <v>0</v>
      </c>
      <c r="K15" s="10"/>
      <c r="L15" s="25">
        <f>K15+Декабрь11!L16</f>
        <v>0</v>
      </c>
    </row>
    <row r="16" spans="1:13" ht="15.75">
      <c r="A16" s="1">
        <f t="shared" si="2"/>
        <v>14</v>
      </c>
      <c r="B16" s="17" t="s">
        <v>26</v>
      </c>
      <c r="C16" s="10"/>
      <c r="D16" s="25">
        <f>Декабрь11!D17+Январь!C16</f>
        <v>0</v>
      </c>
      <c r="E16" s="11"/>
      <c r="F16" s="25">
        <f>Декабрь11!E17+Январь!E16</f>
        <v>0</v>
      </c>
      <c r="G16" s="25">
        <f t="shared" si="0"/>
        <v>0</v>
      </c>
      <c r="H16" s="26">
        <f t="shared" si="1"/>
        <v>0</v>
      </c>
      <c r="I16" s="11"/>
      <c r="J16" s="26">
        <f>Декабрь11!J17+Январь!I16</f>
        <v>0</v>
      </c>
      <c r="K16" s="10"/>
      <c r="L16" s="25">
        <f>K16+Декабрь11!L17</f>
        <v>0</v>
      </c>
    </row>
    <row r="17" spans="1:12" ht="15.75">
      <c r="A17" s="1">
        <f t="shared" si="2"/>
        <v>15</v>
      </c>
      <c r="B17" s="17" t="s">
        <v>27</v>
      </c>
      <c r="C17" s="10"/>
      <c r="D17" s="25">
        <f>Декабрь11!D18+Январь!C17</f>
        <v>0</v>
      </c>
      <c r="E17" s="11"/>
      <c r="F17" s="25">
        <f>Декабрь11!E18+Январь!E17</f>
        <v>0</v>
      </c>
      <c r="G17" s="25">
        <f t="shared" si="0"/>
        <v>0</v>
      </c>
      <c r="H17" s="26">
        <f t="shared" si="1"/>
        <v>0</v>
      </c>
      <c r="I17" s="11"/>
      <c r="J17" s="26">
        <f>Декабрь11!J18+Январь!I17</f>
        <v>0</v>
      </c>
      <c r="K17" s="10"/>
      <c r="L17" s="25">
        <f>K17+Декабрь11!L18</f>
        <v>0</v>
      </c>
    </row>
    <row r="18" spans="1:12">
      <c r="A18" s="1">
        <f t="shared" si="2"/>
        <v>16</v>
      </c>
      <c r="B18" s="8" t="s">
        <v>32</v>
      </c>
      <c r="C18" s="10"/>
      <c r="D18" s="25">
        <f>Декабрь11!D19+Январь!C18</f>
        <v>0</v>
      </c>
      <c r="E18" s="11"/>
      <c r="F18" s="25">
        <f>Декабрь11!E19+Январь!E18</f>
        <v>0</v>
      </c>
      <c r="G18" s="25">
        <f t="shared" si="0"/>
        <v>0</v>
      </c>
      <c r="H18" s="26">
        <f t="shared" si="1"/>
        <v>0</v>
      </c>
      <c r="I18" s="11"/>
      <c r="J18" s="26">
        <f>Декабрь11!J19+Январь!I18</f>
        <v>0</v>
      </c>
      <c r="K18" s="10"/>
      <c r="L18" s="25">
        <f>K18+Декабрь11!L19</f>
        <v>0</v>
      </c>
    </row>
    <row r="19" spans="1:12">
      <c r="A19" s="1">
        <f t="shared" si="2"/>
        <v>17</v>
      </c>
      <c r="B19" s="8" t="s">
        <v>31</v>
      </c>
      <c r="C19" s="10"/>
      <c r="D19" s="25">
        <f>Декабрь11!D20+Январь!C19</f>
        <v>0</v>
      </c>
      <c r="E19" s="11"/>
      <c r="F19" s="25">
        <f>Декабрь11!E20+Январь!E19</f>
        <v>0</v>
      </c>
      <c r="G19" s="25">
        <f t="shared" si="0"/>
        <v>0</v>
      </c>
      <c r="H19" s="26">
        <f t="shared" si="1"/>
        <v>0</v>
      </c>
      <c r="I19" s="11"/>
      <c r="J19" s="26">
        <f>Декабрь11!J20+Январь!I19</f>
        <v>0</v>
      </c>
      <c r="K19" s="10"/>
      <c r="L19" s="25">
        <f>K19+Декабрь11!L20</f>
        <v>0</v>
      </c>
    </row>
    <row r="20" spans="1:12">
      <c r="A20" s="1">
        <f t="shared" si="2"/>
        <v>18</v>
      </c>
      <c r="B20" s="8"/>
      <c r="C20" s="10"/>
      <c r="D20" s="25">
        <f>Декабрь11!D21+Январь!C20</f>
        <v>0</v>
      </c>
      <c r="E20" s="11"/>
      <c r="F20" s="25">
        <f>Декабрь11!E21+Январь!E20</f>
        <v>0</v>
      </c>
      <c r="G20" s="25">
        <f t="shared" si="0"/>
        <v>0</v>
      </c>
      <c r="H20" s="26">
        <f t="shared" si="1"/>
        <v>0</v>
      </c>
      <c r="I20" s="11"/>
      <c r="J20" s="26">
        <f>Декабрь11!J21+Январь!I20</f>
        <v>0</v>
      </c>
      <c r="K20" s="10"/>
      <c r="L20" s="25">
        <f>K20+Декабрь11!L21</f>
        <v>0</v>
      </c>
    </row>
    <row r="21" spans="1:12">
      <c r="A21" s="1">
        <f t="shared" si="2"/>
        <v>19</v>
      </c>
      <c r="B21" s="8"/>
      <c r="C21" s="10"/>
      <c r="D21" s="25">
        <f>Декабрь11!D22+Январь!C21</f>
        <v>0</v>
      </c>
      <c r="E21" s="11"/>
      <c r="F21" s="25">
        <f>Декабрь11!E22+Январь!E21</f>
        <v>0</v>
      </c>
      <c r="G21" s="25">
        <f t="shared" si="0"/>
        <v>0</v>
      </c>
      <c r="H21" s="26">
        <f t="shared" si="1"/>
        <v>0</v>
      </c>
      <c r="I21" s="11"/>
      <c r="J21" s="26">
        <f>Декабрь11!J22+Январь!I21</f>
        <v>0</v>
      </c>
      <c r="K21" s="10"/>
      <c r="L21" s="25">
        <f>K21+Декабрь11!L22</f>
        <v>0</v>
      </c>
    </row>
    <row r="22" spans="1:12">
      <c r="A22" s="1">
        <f t="shared" si="2"/>
        <v>20</v>
      </c>
      <c r="B22" s="8"/>
      <c r="C22" s="10"/>
      <c r="D22" s="25">
        <f>Декабрь11!D23+Январь!C22</f>
        <v>0</v>
      </c>
      <c r="E22" s="11"/>
      <c r="F22" s="25">
        <f>Декабрь11!E23+Январь!E22</f>
        <v>0</v>
      </c>
      <c r="G22" s="25">
        <f t="shared" si="0"/>
        <v>0</v>
      </c>
      <c r="H22" s="26">
        <f t="shared" si="1"/>
        <v>0</v>
      </c>
      <c r="I22" s="11"/>
      <c r="J22" s="26">
        <f>Декабрь11!J23+Январь!I22</f>
        <v>0</v>
      </c>
      <c r="K22" s="10"/>
      <c r="L22" s="25">
        <f>K22+Декабрь11!L23</f>
        <v>0</v>
      </c>
    </row>
    <row r="23" spans="1:12">
      <c r="A23" s="30"/>
      <c r="B23" s="27" t="s">
        <v>13</v>
      </c>
      <c r="C23" s="25">
        <f t="shared" ref="C23:L23" si="3">SUM(C3:C22)</f>
        <v>35853.56</v>
      </c>
      <c r="D23" s="25">
        <f t="shared" si="3"/>
        <v>35853.56</v>
      </c>
      <c r="E23" s="26">
        <f t="shared" si="3"/>
        <v>24736.409999999996</v>
      </c>
      <c r="F23" s="25">
        <f t="shared" si="3"/>
        <v>24736.409999999996</v>
      </c>
      <c r="G23" s="25">
        <f t="shared" si="3"/>
        <v>-11117.150000000003</v>
      </c>
      <c r="H23" s="26">
        <f t="shared" si="3"/>
        <v>-11117.150000000003</v>
      </c>
      <c r="I23" s="26">
        <f t="shared" si="3"/>
        <v>82371.55</v>
      </c>
      <c r="J23" s="26">
        <f t="shared" si="3"/>
        <v>82371.55</v>
      </c>
      <c r="K23" s="25">
        <f t="shared" si="3"/>
        <v>32515.91</v>
      </c>
      <c r="L23" s="25">
        <f t="shared" si="3"/>
        <v>32515.91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5.7109375" customWidth="1"/>
    <col min="2" max="2" width="27.7109375" customWidth="1"/>
    <col min="3" max="3" width="9.28515625" bestFit="1" customWidth="1"/>
    <col min="4" max="4" width="11" customWidth="1"/>
    <col min="5" max="5" width="9.28515625" bestFit="1" customWidth="1"/>
    <col min="6" max="6" width="11" customWidth="1"/>
    <col min="7" max="7" width="11.140625" customWidth="1"/>
    <col min="8" max="8" width="10.85546875" customWidth="1"/>
    <col min="9" max="9" width="9.28515625" bestFit="1" customWidth="1"/>
    <col min="10" max="10" width="12" customWidth="1"/>
    <col min="11" max="12" width="9.28515625" bestFit="1" customWidth="1"/>
    <col min="13" max="13" width="9.7109375" bestFit="1" customWidth="1"/>
  </cols>
  <sheetData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6026.49+1297.17</f>
        <v>7323.66</v>
      </c>
      <c r="D3" s="25">
        <f>C3+Январь!D3</f>
        <v>14503.92</v>
      </c>
      <c r="E3" s="11">
        <f>8016+1741.21</f>
        <v>9757.2099999999991</v>
      </c>
      <c r="F3" s="25">
        <f>E3+Январь!F3</f>
        <v>14633.48</v>
      </c>
      <c r="G3" s="25">
        <f>E3-C3</f>
        <v>2433.5499999999993</v>
      </c>
      <c r="H3" s="26">
        <f>F3-D3</f>
        <v>129.55999999999949</v>
      </c>
      <c r="I3" s="11"/>
      <c r="J3" s="26">
        <f>I3+Январь!J3</f>
        <v>0</v>
      </c>
      <c r="K3" s="10"/>
      <c r="L3" s="25">
        <f>K3+Январь!L3</f>
        <v>0</v>
      </c>
    </row>
    <row r="4" spans="1:13" ht="15.75">
      <c r="A4" s="1">
        <f>A3+1</f>
        <v>2</v>
      </c>
      <c r="B4" s="17" t="s">
        <v>15</v>
      </c>
      <c r="C4" s="10">
        <f>12266.67+2640.35</f>
        <v>14907.02</v>
      </c>
      <c r="D4" s="25">
        <f>C4+Январь!D4</f>
        <v>29522.160000000003</v>
      </c>
      <c r="E4" s="11">
        <f>16298.9+3544.2</f>
        <v>19843.099999999999</v>
      </c>
      <c r="F4" s="25">
        <f>E4+Январь!F4</f>
        <v>29769</v>
      </c>
      <c r="G4" s="25">
        <f t="shared" ref="G4:H22" si="0">E4-C4</f>
        <v>4936.0799999999981</v>
      </c>
      <c r="H4" s="26">
        <f t="shared" si="0"/>
        <v>246.83999999999651</v>
      </c>
      <c r="I4" s="11">
        <v>70876.84</v>
      </c>
      <c r="J4" s="26">
        <f>I4+Январь!J4</f>
        <v>121922.41</v>
      </c>
      <c r="K4" s="10">
        <v>18639.34</v>
      </c>
      <c r="L4" s="25">
        <f>K4+Январь!L4</f>
        <v>32063.41</v>
      </c>
      <c r="M4" s="32">
        <f>L4-J4</f>
        <v>-89859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C5+Январь!D5</f>
        <v>0</v>
      </c>
      <c r="E5" s="11"/>
      <c r="F5" s="25">
        <f>E5+Январь!F5</f>
        <v>0</v>
      </c>
      <c r="G5" s="25">
        <f t="shared" si="0"/>
        <v>0</v>
      </c>
      <c r="H5" s="26">
        <f t="shared" si="0"/>
        <v>0</v>
      </c>
      <c r="I5" s="11"/>
      <c r="J5" s="26">
        <f>I5+Январь!J5</f>
        <v>0</v>
      </c>
      <c r="K5" s="10"/>
      <c r="L5" s="25">
        <f>K5+Январь!L5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C6+Январь!D6</f>
        <v>0</v>
      </c>
      <c r="E6" s="11"/>
      <c r="F6" s="25">
        <f>E6+Январь!F6</f>
        <v>0</v>
      </c>
      <c r="G6" s="25">
        <f t="shared" si="0"/>
        <v>0</v>
      </c>
      <c r="H6" s="26">
        <f t="shared" si="0"/>
        <v>0</v>
      </c>
      <c r="I6" s="11"/>
      <c r="J6" s="26">
        <f>I6+Январь!J6</f>
        <v>0</v>
      </c>
      <c r="K6" s="10"/>
      <c r="L6" s="25">
        <f>K6+Январь!L6</f>
        <v>0</v>
      </c>
    </row>
    <row r="7" spans="1:13" ht="15.75">
      <c r="A7" s="1">
        <f t="shared" si="1"/>
        <v>5</v>
      </c>
      <c r="B7" s="18" t="s">
        <v>18</v>
      </c>
      <c r="C7" s="10">
        <f>918.95+197.8</f>
        <v>1116.75</v>
      </c>
      <c r="D7" s="25">
        <f>C7+Январь!D7</f>
        <v>2211.63</v>
      </c>
      <c r="E7" s="11">
        <f>1223.59+265.51</f>
        <v>1489.1</v>
      </c>
      <c r="F7" s="25">
        <f>E7+Январь!F7</f>
        <v>2232.6899999999996</v>
      </c>
      <c r="G7" s="25">
        <f t="shared" si="0"/>
        <v>372.34999999999991</v>
      </c>
      <c r="H7" s="26">
        <f t="shared" si="0"/>
        <v>21.059999999999491</v>
      </c>
      <c r="I7" s="11"/>
      <c r="J7" s="26">
        <f>I7+Январь!J7</f>
        <v>0</v>
      </c>
      <c r="K7" s="10"/>
      <c r="L7" s="25">
        <f>K7+Январь!L7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C8+Январь!D8</f>
        <v>0</v>
      </c>
      <c r="E8" s="11"/>
      <c r="F8" s="25">
        <f>E8+Январь!F8</f>
        <v>0</v>
      </c>
      <c r="G8" s="25">
        <f t="shared" si="0"/>
        <v>0</v>
      </c>
      <c r="H8" s="26">
        <f t="shared" si="0"/>
        <v>0</v>
      </c>
      <c r="I8" s="11"/>
      <c r="J8" s="26">
        <f>I8+Январь!J8</f>
        <v>0</v>
      </c>
      <c r="K8" s="10"/>
      <c r="L8" s="25">
        <f>K8+Январь!L8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C9+Январь!D9</f>
        <v>0</v>
      </c>
      <c r="E9" s="11"/>
      <c r="F9" s="25">
        <f>E9+Январь!F9</f>
        <v>0</v>
      </c>
      <c r="G9" s="25">
        <f t="shared" si="0"/>
        <v>0</v>
      </c>
      <c r="H9" s="26">
        <f t="shared" si="0"/>
        <v>0</v>
      </c>
      <c r="I9" s="11"/>
      <c r="J9" s="26">
        <f>I9+Январь!J9</f>
        <v>0</v>
      </c>
      <c r="K9" s="10"/>
      <c r="L9" s="25">
        <f>K9+Январь!L9</f>
        <v>0</v>
      </c>
    </row>
    <row r="10" spans="1:13" ht="15.75">
      <c r="A10" s="1">
        <f t="shared" si="1"/>
        <v>8</v>
      </c>
      <c r="B10" s="17" t="s">
        <v>20</v>
      </c>
      <c r="C10" s="10">
        <f>3426.67+478.14</f>
        <v>3904.81</v>
      </c>
      <c r="D10" s="25">
        <f>C10+Январь!D10</f>
        <v>7729.93</v>
      </c>
      <c r="E10" s="11">
        <f>3947.7+465.29</f>
        <v>4412.99</v>
      </c>
      <c r="F10" s="25">
        <f>E10+Январь!F10</f>
        <v>7204.17</v>
      </c>
      <c r="G10" s="25">
        <f t="shared" si="0"/>
        <v>508.17999999999984</v>
      </c>
      <c r="H10" s="26">
        <f t="shared" si="0"/>
        <v>-525.76000000000022</v>
      </c>
      <c r="I10" s="11">
        <v>1244.46</v>
      </c>
      <c r="J10" s="26">
        <f>I10+Январь!J10</f>
        <v>16907.45</v>
      </c>
      <c r="K10" s="10">
        <v>1244.46</v>
      </c>
      <c r="L10" s="25">
        <f>K10+Январь!L10</f>
        <v>15522.869999999999</v>
      </c>
    </row>
    <row r="11" spans="1:13" ht="15.75">
      <c r="A11" s="1">
        <f t="shared" si="1"/>
        <v>9</v>
      </c>
      <c r="B11" s="17" t="s">
        <v>21</v>
      </c>
      <c r="C11" s="10">
        <v>3904.81</v>
      </c>
      <c r="D11" s="25">
        <f>C11+Январь!D11</f>
        <v>7729.93</v>
      </c>
      <c r="E11" s="11">
        <v>4412.99</v>
      </c>
      <c r="F11" s="25">
        <f>E11+Январь!F11</f>
        <v>7204.17</v>
      </c>
      <c r="G11" s="25">
        <f t="shared" si="0"/>
        <v>508.17999999999984</v>
      </c>
      <c r="H11" s="26">
        <f t="shared" si="0"/>
        <v>-525.76000000000022</v>
      </c>
      <c r="I11" s="11">
        <v>1244.46</v>
      </c>
      <c r="J11" s="26">
        <f>I11+Январь!J11</f>
        <v>16907.45</v>
      </c>
      <c r="K11" s="10"/>
      <c r="L11" s="25">
        <f>K11+Январь!L11</f>
        <v>4813.43</v>
      </c>
    </row>
    <row r="12" spans="1:13" ht="15.75">
      <c r="A12" s="1">
        <f t="shared" si="1"/>
        <v>10</v>
      </c>
      <c r="B12" s="17" t="s">
        <v>22</v>
      </c>
      <c r="C12" s="10"/>
      <c r="D12" s="25">
        <f>C12+Январь!D12</f>
        <v>0</v>
      </c>
      <c r="E12" s="11"/>
      <c r="F12" s="25">
        <f>E12+Январь!F12</f>
        <v>0</v>
      </c>
      <c r="G12" s="25">
        <f t="shared" si="0"/>
        <v>0</v>
      </c>
      <c r="H12" s="26">
        <f t="shared" si="0"/>
        <v>0</v>
      </c>
      <c r="I12" s="11"/>
      <c r="J12" s="26">
        <f>I12+Январь!J12</f>
        <v>0</v>
      </c>
      <c r="K12" s="10"/>
      <c r="L12" s="25">
        <f>K12+Январь!L12</f>
        <v>0</v>
      </c>
    </row>
    <row r="13" spans="1:13" ht="15.75">
      <c r="A13" s="1">
        <f t="shared" si="1"/>
        <v>11</v>
      </c>
      <c r="B13" s="17" t="s">
        <v>23</v>
      </c>
      <c r="C13" s="10">
        <f>3618.76+778.91</f>
        <v>4397.67</v>
      </c>
      <c r="D13" s="25">
        <f>C13+Январь!D13</f>
        <v>8709.24</v>
      </c>
      <c r="E13" s="11">
        <f>4816.16+1045.56</f>
        <v>5861.7199999999993</v>
      </c>
      <c r="F13" s="25">
        <f>E13+Январь!F13</f>
        <v>8789.869999999999</v>
      </c>
      <c r="G13" s="25">
        <f t="shared" si="0"/>
        <v>1464.0499999999993</v>
      </c>
      <c r="H13" s="26">
        <f t="shared" si="0"/>
        <v>80.6299999999992</v>
      </c>
      <c r="I13" s="11"/>
      <c r="J13" s="26">
        <f>I13+Январь!J13</f>
        <v>0</v>
      </c>
      <c r="K13" s="10"/>
      <c r="L13" s="25">
        <f>K13+Январь!L13</f>
        <v>0</v>
      </c>
    </row>
    <row r="14" spans="1:13" ht="15.75">
      <c r="A14" s="1">
        <f t="shared" si="1"/>
        <v>12</v>
      </c>
      <c r="B14" s="17" t="s">
        <v>24</v>
      </c>
      <c r="C14" s="10">
        <f>840.54+180.93</f>
        <v>1021.47</v>
      </c>
      <c r="D14" s="25">
        <f>C14+Январь!D14</f>
        <v>2022.94</v>
      </c>
      <c r="E14" s="11">
        <f>1119.22+242.86</f>
        <v>1362.08</v>
      </c>
      <c r="F14" s="25">
        <f>E14+Январь!F14</f>
        <v>2042.2199999999998</v>
      </c>
      <c r="G14" s="25">
        <f t="shared" si="0"/>
        <v>340.6099999999999</v>
      </c>
      <c r="H14" s="26">
        <f t="shared" si="0"/>
        <v>19.279999999999745</v>
      </c>
      <c r="I14" s="11"/>
      <c r="J14" s="26">
        <f>I14+Январь!J14</f>
        <v>0</v>
      </c>
      <c r="K14" s="10"/>
      <c r="L14" s="25">
        <f>K14+Январь!L14</f>
        <v>0</v>
      </c>
    </row>
    <row r="15" spans="1:13" ht="15.75">
      <c r="A15" s="1">
        <f t="shared" si="1"/>
        <v>13</v>
      </c>
      <c r="B15" s="17" t="s">
        <v>25</v>
      </c>
      <c r="C15" s="10"/>
      <c r="D15" s="25">
        <f>C15+Январь!D15</f>
        <v>0</v>
      </c>
      <c r="E15" s="11"/>
      <c r="F15" s="25">
        <f>E15+Январь!F15</f>
        <v>0</v>
      </c>
      <c r="G15" s="25">
        <f t="shared" si="0"/>
        <v>0</v>
      </c>
      <c r="H15" s="26">
        <f t="shared" si="0"/>
        <v>0</v>
      </c>
      <c r="I15" s="11"/>
      <c r="J15" s="26">
        <f>I15+Январь!J15</f>
        <v>0</v>
      </c>
      <c r="K15" s="10"/>
      <c r="L15" s="25">
        <f>K15+Январь!L15</f>
        <v>0</v>
      </c>
    </row>
    <row r="16" spans="1:13" ht="15.75">
      <c r="A16" s="1">
        <f t="shared" si="1"/>
        <v>14</v>
      </c>
      <c r="B16" s="17" t="s">
        <v>26</v>
      </c>
      <c r="C16" s="10"/>
      <c r="D16" s="25">
        <f>C16+Январь!D16</f>
        <v>0</v>
      </c>
      <c r="E16" s="11"/>
      <c r="F16" s="25">
        <f>E16+Январь!F16</f>
        <v>0</v>
      </c>
      <c r="G16" s="25">
        <f t="shared" si="0"/>
        <v>0</v>
      </c>
      <c r="H16" s="26">
        <f t="shared" si="0"/>
        <v>0</v>
      </c>
      <c r="I16" s="11"/>
      <c r="J16" s="26">
        <f>I16+Январь!J16</f>
        <v>0</v>
      </c>
      <c r="K16" s="10"/>
      <c r="L16" s="25">
        <f>K16+Январь!L16</f>
        <v>0</v>
      </c>
    </row>
    <row r="17" spans="1:12" ht="15.75">
      <c r="A17" s="1">
        <f t="shared" si="1"/>
        <v>15</v>
      </c>
      <c r="B17" s="17" t="s">
        <v>27</v>
      </c>
      <c r="C17" s="10"/>
      <c r="D17" s="25">
        <f>C17+Январь!D17</f>
        <v>0</v>
      </c>
      <c r="E17" s="11"/>
      <c r="F17" s="25">
        <f>E17+Январь!F17</f>
        <v>0</v>
      </c>
      <c r="G17" s="25">
        <f t="shared" si="0"/>
        <v>0</v>
      </c>
      <c r="H17" s="26">
        <f t="shared" si="0"/>
        <v>0</v>
      </c>
      <c r="I17" s="11"/>
      <c r="J17" s="26">
        <f>I17+Январь!J17</f>
        <v>0</v>
      </c>
      <c r="K17" s="10"/>
      <c r="L17" s="25">
        <f>K17+Январь!L17</f>
        <v>0</v>
      </c>
    </row>
    <row r="18" spans="1:12">
      <c r="A18" s="1">
        <f t="shared" si="1"/>
        <v>16</v>
      </c>
      <c r="B18" s="8" t="s">
        <v>32</v>
      </c>
      <c r="C18" s="10"/>
      <c r="D18" s="25">
        <f>C18+Январь!D18</f>
        <v>0</v>
      </c>
      <c r="E18" s="11"/>
      <c r="F18" s="25">
        <f>E18+Январь!F18</f>
        <v>0</v>
      </c>
      <c r="G18" s="25">
        <f t="shared" si="0"/>
        <v>0</v>
      </c>
      <c r="H18" s="26">
        <f t="shared" si="0"/>
        <v>0</v>
      </c>
      <c r="I18" s="11"/>
      <c r="J18" s="26">
        <f>I18+Январь!J18</f>
        <v>0</v>
      </c>
      <c r="K18" s="10"/>
      <c r="L18" s="25">
        <f>K18+Январь!L18</f>
        <v>0</v>
      </c>
    </row>
    <row r="19" spans="1:12">
      <c r="A19" s="1">
        <f t="shared" si="1"/>
        <v>17</v>
      </c>
      <c r="B19" s="8" t="s">
        <v>31</v>
      </c>
      <c r="C19" s="10"/>
      <c r="D19" s="25">
        <f>C19+Январь!D19</f>
        <v>0</v>
      </c>
      <c r="E19" s="11"/>
      <c r="F19" s="25">
        <f>E19+Январь!F19</f>
        <v>0</v>
      </c>
      <c r="G19" s="25">
        <f t="shared" si="0"/>
        <v>0</v>
      </c>
      <c r="H19" s="26">
        <f t="shared" si="0"/>
        <v>0</v>
      </c>
      <c r="I19" s="11"/>
      <c r="J19" s="26">
        <f>I19+Январь!J19</f>
        <v>0</v>
      </c>
      <c r="K19" s="11"/>
      <c r="L19" s="25">
        <f>K19+Январь!L19</f>
        <v>0</v>
      </c>
    </row>
    <row r="20" spans="1:12">
      <c r="A20" s="1">
        <f t="shared" si="1"/>
        <v>18</v>
      </c>
      <c r="B20" s="8"/>
      <c r="C20" s="10"/>
      <c r="D20" s="25">
        <f>C20+Январь!D20</f>
        <v>0</v>
      </c>
      <c r="E20" s="11"/>
      <c r="F20" s="25">
        <f>E20+Январь!F20</f>
        <v>0</v>
      </c>
      <c r="G20" s="25">
        <f t="shared" si="0"/>
        <v>0</v>
      </c>
      <c r="H20" s="26">
        <f t="shared" si="0"/>
        <v>0</v>
      </c>
      <c r="I20" s="11"/>
      <c r="J20" s="26">
        <f>I20+Январь!J20</f>
        <v>0</v>
      </c>
      <c r="K20" s="10"/>
      <c r="L20" s="25">
        <f>K20+Январь!L20</f>
        <v>0</v>
      </c>
    </row>
    <row r="21" spans="1:12">
      <c r="A21" s="1">
        <f t="shared" si="1"/>
        <v>19</v>
      </c>
      <c r="B21" s="8"/>
      <c r="C21" s="10"/>
      <c r="D21" s="25">
        <f>C21+Январь!D21</f>
        <v>0</v>
      </c>
      <c r="E21" s="11"/>
      <c r="F21" s="25">
        <f>E21+Январь!F21</f>
        <v>0</v>
      </c>
      <c r="G21" s="25">
        <f t="shared" si="0"/>
        <v>0</v>
      </c>
      <c r="H21" s="26">
        <f t="shared" si="0"/>
        <v>0</v>
      </c>
      <c r="I21" s="11"/>
      <c r="J21" s="26">
        <f>I21+Январь!J21</f>
        <v>0</v>
      </c>
      <c r="K21" s="10"/>
      <c r="L21" s="25">
        <f>K21+Январь!L21</f>
        <v>0</v>
      </c>
    </row>
    <row r="22" spans="1:12">
      <c r="A22" s="1">
        <f t="shared" si="1"/>
        <v>20</v>
      </c>
      <c r="B22" s="8"/>
      <c r="C22" s="10"/>
      <c r="D22" s="25">
        <f>C22+Январь!D22</f>
        <v>0</v>
      </c>
      <c r="E22" s="11"/>
      <c r="F22" s="25">
        <f>E22+Январь!F22</f>
        <v>0</v>
      </c>
      <c r="G22" s="25">
        <f t="shared" si="0"/>
        <v>0</v>
      </c>
      <c r="H22" s="26">
        <f t="shared" si="0"/>
        <v>0</v>
      </c>
      <c r="I22" s="11"/>
      <c r="J22" s="26">
        <f>I22+Январь!J22</f>
        <v>0</v>
      </c>
      <c r="K22" s="10"/>
      <c r="L22" s="25">
        <f>K22+Январь!L22</f>
        <v>0</v>
      </c>
    </row>
    <row r="23" spans="1:12">
      <c r="A23" s="30"/>
      <c r="B23" s="27" t="s">
        <v>13</v>
      </c>
      <c r="C23" s="25">
        <f t="shared" ref="C23:L23" si="2">SUM(C3:C22)</f>
        <v>36576.19</v>
      </c>
      <c r="D23" s="25">
        <f t="shared" si="2"/>
        <v>72429.75</v>
      </c>
      <c r="E23" s="26">
        <f t="shared" si="2"/>
        <v>47139.189999999995</v>
      </c>
      <c r="F23" s="25">
        <f t="shared" si="2"/>
        <v>71875.599999999991</v>
      </c>
      <c r="G23" s="25">
        <f t="shared" si="2"/>
        <v>10562.999999999998</v>
      </c>
      <c r="H23" s="26">
        <f t="shared" si="2"/>
        <v>-554.150000000006</v>
      </c>
      <c r="I23" s="26">
        <f t="shared" si="2"/>
        <v>73365.760000000009</v>
      </c>
      <c r="J23" s="26">
        <f t="shared" si="2"/>
        <v>155737.31000000003</v>
      </c>
      <c r="K23" s="25">
        <f t="shared" si="2"/>
        <v>19883.8</v>
      </c>
      <c r="L23" s="25">
        <f t="shared" si="2"/>
        <v>52399.71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3"/>
  <sheetViews>
    <sheetView workbookViewId="0">
      <selection activeCell="K11" sqref="K11"/>
    </sheetView>
  </sheetViews>
  <sheetFormatPr defaultRowHeight="12.75"/>
  <cols>
    <col min="1" max="1" width="4.85546875" customWidth="1"/>
    <col min="2" max="2" width="25.42578125" customWidth="1"/>
    <col min="3" max="3" width="10.7109375" customWidth="1"/>
    <col min="4" max="4" width="12.28515625" customWidth="1"/>
    <col min="5" max="6" width="9.28515625" bestFit="1" customWidth="1"/>
    <col min="7" max="7" width="9.7109375" bestFit="1" customWidth="1"/>
    <col min="8" max="8" width="10.42578125" customWidth="1"/>
    <col min="9" max="9" width="9.28515625" bestFit="1" customWidth="1"/>
    <col min="10" max="10" width="11.5703125" customWidth="1"/>
    <col min="11" max="12" width="9.28515625" bestFit="1" customWidth="1"/>
    <col min="13" max="13" width="10.5703125" customWidth="1"/>
  </cols>
  <sheetData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6433.16+1297.17</f>
        <v>7730.33</v>
      </c>
      <c r="D3" s="25">
        <f>C3+февраль!D3</f>
        <v>22234.25</v>
      </c>
      <c r="E3" s="11">
        <f>3672.99+1297.17</f>
        <v>4970.16</v>
      </c>
      <c r="F3" s="25">
        <f>E3+февраль!F3</f>
        <v>19603.64</v>
      </c>
      <c r="G3" s="25">
        <f>E3-C3</f>
        <v>-2760.17</v>
      </c>
      <c r="H3" s="26">
        <f>F3-D3</f>
        <v>-2630.6100000000006</v>
      </c>
      <c r="I3" s="11"/>
      <c r="J3" s="26">
        <f>I3+февраль!J3</f>
        <v>0</v>
      </c>
      <c r="K3" s="10"/>
      <c r="L3" s="25">
        <f>K3+февраль!L3</f>
        <v>0</v>
      </c>
    </row>
    <row r="4" spans="1:13" ht="15.75">
      <c r="A4" s="1">
        <f>A3+1</f>
        <v>2</v>
      </c>
      <c r="B4" s="17" t="s">
        <v>15</v>
      </c>
      <c r="C4" s="10">
        <f>13094.44+2640.35</f>
        <v>15734.79</v>
      </c>
      <c r="D4" s="25">
        <f>C4+февраль!D4</f>
        <v>45256.950000000004</v>
      </c>
      <c r="E4" s="11">
        <f>7476.24+2640.35</f>
        <v>10116.59</v>
      </c>
      <c r="F4" s="25">
        <f>E4+февраль!F4</f>
        <v>39885.589999999997</v>
      </c>
      <c r="G4" s="25">
        <f t="shared" ref="G4:H22" si="0">E4-C4</f>
        <v>-5618.2000000000007</v>
      </c>
      <c r="H4" s="26">
        <f t="shared" si="0"/>
        <v>-5371.3600000000079</v>
      </c>
      <c r="I4" s="11">
        <v>50019.81</v>
      </c>
      <c r="J4" s="26">
        <f>I4+февраль!J4</f>
        <v>171942.22</v>
      </c>
      <c r="K4" s="10">
        <v>13154.31</v>
      </c>
      <c r="L4" s="25">
        <f>K4+февраль!L4</f>
        <v>45217.72</v>
      </c>
      <c r="M4" s="32">
        <f>L4-J4</f>
        <v>-126724.5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C5+февраль!D5</f>
        <v>0</v>
      </c>
      <c r="E5" s="11"/>
      <c r="F5" s="25">
        <f>E5+февраль!F5</f>
        <v>0</v>
      </c>
      <c r="G5" s="25">
        <f t="shared" si="0"/>
        <v>0</v>
      </c>
      <c r="H5" s="26">
        <f t="shared" si="0"/>
        <v>0</v>
      </c>
      <c r="I5" s="11"/>
      <c r="J5" s="26">
        <v>0</v>
      </c>
      <c r="K5" s="10"/>
      <c r="L5" s="25">
        <f>K5+февраль!L5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C6+февраль!D6</f>
        <v>0</v>
      </c>
      <c r="E6" s="11"/>
      <c r="F6" s="25">
        <f>E6+февраль!F6</f>
        <v>0</v>
      </c>
      <c r="G6" s="25">
        <f t="shared" si="0"/>
        <v>0</v>
      </c>
      <c r="H6" s="26">
        <f t="shared" si="0"/>
        <v>0</v>
      </c>
      <c r="I6" s="11"/>
      <c r="J6" s="26">
        <f>I6+февраль!J6</f>
        <v>0</v>
      </c>
      <c r="K6" s="10"/>
      <c r="L6" s="25">
        <f>K6+февраль!L6</f>
        <v>0</v>
      </c>
    </row>
    <row r="7" spans="1:13" ht="15.75">
      <c r="A7" s="1">
        <f t="shared" si="1"/>
        <v>5</v>
      </c>
      <c r="B7" s="18" t="s">
        <v>18</v>
      </c>
      <c r="C7" s="10">
        <f>980.96+197.8</f>
        <v>1178.76</v>
      </c>
      <c r="D7" s="25">
        <f>C7+февраль!D7</f>
        <v>3390.3900000000003</v>
      </c>
      <c r="E7" s="11">
        <f>560.08+197.8</f>
        <v>757.88000000000011</v>
      </c>
      <c r="F7" s="25">
        <f>E7+февраль!F7</f>
        <v>2990.5699999999997</v>
      </c>
      <c r="G7" s="25">
        <f t="shared" si="0"/>
        <v>-420.87999999999988</v>
      </c>
      <c r="H7" s="26">
        <f t="shared" si="0"/>
        <v>-399.82000000000062</v>
      </c>
      <c r="I7" s="11"/>
      <c r="J7" s="26">
        <f>I7+февраль!J7</f>
        <v>0</v>
      </c>
      <c r="K7" s="10"/>
      <c r="L7" s="25">
        <f>K7+февраль!L7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C8+февраль!D8</f>
        <v>0</v>
      </c>
      <c r="E8" s="11"/>
      <c r="F8" s="25">
        <f>E8+февраль!F8</f>
        <v>0</v>
      </c>
      <c r="G8" s="25">
        <f t="shared" si="0"/>
        <v>0</v>
      </c>
      <c r="H8" s="26">
        <f t="shared" si="0"/>
        <v>0</v>
      </c>
      <c r="I8" s="11"/>
      <c r="J8" s="26">
        <f>I8+февраль!J8</f>
        <v>0</v>
      </c>
      <c r="K8" s="10"/>
      <c r="L8" s="25">
        <f>K8+февраль!L8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C9+февраль!D9</f>
        <v>0</v>
      </c>
      <c r="E9" s="11"/>
      <c r="F9" s="25">
        <f>E9+февраль!F9</f>
        <v>0</v>
      </c>
      <c r="G9" s="25">
        <f t="shared" si="0"/>
        <v>0</v>
      </c>
      <c r="H9" s="26">
        <f t="shared" si="0"/>
        <v>0</v>
      </c>
      <c r="I9" s="11"/>
      <c r="J9" s="26">
        <f>I9+февраль!J9</f>
        <v>0</v>
      </c>
      <c r="K9" s="10"/>
      <c r="L9" s="25">
        <f>K9+февраль!L9</f>
        <v>0</v>
      </c>
    </row>
    <row r="10" spans="1:13" ht="15.75">
      <c r="A10" s="1">
        <f t="shared" si="1"/>
        <v>8</v>
      </c>
      <c r="B10" s="17" t="s">
        <v>20</v>
      </c>
      <c r="C10" s="10">
        <f>3586.05+478.14</f>
        <v>4064.19</v>
      </c>
      <c r="D10" s="25">
        <f>C10+февраль!D10</f>
        <v>11794.12</v>
      </c>
      <c r="E10" s="11">
        <f>2076.66+478.14</f>
        <v>2554.7999999999997</v>
      </c>
      <c r="F10" s="25">
        <f>E10+февраль!F10</f>
        <v>9758.9699999999993</v>
      </c>
      <c r="G10" s="25">
        <f t="shared" si="0"/>
        <v>-1509.3900000000003</v>
      </c>
      <c r="H10" s="26">
        <f t="shared" si="0"/>
        <v>-2035.1500000000015</v>
      </c>
      <c r="I10" s="11">
        <v>1330.28</v>
      </c>
      <c r="J10" s="26">
        <f>I10+февраль!J10</f>
        <v>18237.73</v>
      </c>
      <c r="K10" s="10">
        <v>1330.28</v>
      </c>
      <c r="L10" s="25">
        <f>K10+февраль!L10</f>
        <v>16853.149999999998</v>
      </c>
    </row>
    <row r="11" spans="1:13" ht="15.75">
      <c r="A11" s="1">
        <f t="shared" si="1"/>
        <v>9</v>
      </c>
      <c r="B11" s="17" t="s">
        <v>21</v>
      </c>
      <c r="C11" s="10">
        <v>4064.19</v>
      </c>
      <c r="D11" s="25">
        <f>C11+февраль!D11</f>
        <v>11794.12</v>
      </c>
      <c r="E11" s="11">
        <v>2554.8000000000002</v>
      </c>
      <c r="F11" s="25">
        <f>E11+февраль!F11</f>
        <v>9758.9700000000012</v>
      </c>
      <c r="G11" s="25">
        <f t="shared" si="0"/>
        <v>-1509.3899999999999</v>
      </c>
      <c r="H11" s="26">
        <f t="shared" si="0"/>
        <v>-2035.1499999999996</v>
      </c>
      <c r="I11" s="11">
        <v>1330.28</v>
      </c>
      <c r="J11" s="26">
        <f>I11+февраль!J11</f>
        <v>18237.73</v>
      </c>
      <c r="K11" s="10">
        <v>1330.28</v>
      </c>
      <c r="L11" s="25">
        <f>K11+февраль!L11</f>
        <v>6143.71</v>
      </c>
    </row>
    <row r="12" spans="1:13" ht="15.75">
      <c r="A12" s="1">
        <f t="shared" si="1"/>
        <v>10</v>
      </c>
      <c r="B12" s="17" t="s">
        <v>22</v>
      </c>
      <c r="C12" s="10"/>
      <c r="D12" s="25">
        <f>C12+февраль!D12</f>
        <v>0</v>
      </c>
      <c r="E12" s="11"/>
      <c r="F12" s="25">
        <f>E12+февраль!F12</f>
        <v>0</v>
      </c>
      <c r="G12" s="25">
        <f t="shared" si="0"/>
        <v>0</v>
      </c>
      <c r="H12" s="26">
        <f t="shared" si="0"/>
        <v>0</v>
      </c>
      <c r="I12" s="11"/>
      <c r="J12" s="26">
        <f>I12+февраль!J12</f>
        <v>0</v>
      </c>
      <c r="K12" s="10"/>
      <c r="L12" s="25">
        <f>K12+февраль!L12</f>
        <v>0</v>
      </c>
    </row>
    <row r="13" spans="1:13" ht="15.75">
      <c r="A13" s="1">
        <f t="shared" si="1"/>
        <v>11</v>
      </c>
      <c r="B13" s="17" t="s">
        <v>23</v>
      </c>
      <c r="C13" s="10">
        <f>3862.95+778.91</f>
        <v>4641.8599999999997</v>
      </c>
      <c r="D13" s="25">
        <f>C13+февраль!D13</f>
        <v>13351.099999999999</v>
      </c>
      <c r="E13" s="11">
        <f>2205.55+778.91</f>
        <v>2984.46</v>
      </c>
      <c r="F13" s="25">
        <f>E13+февраль!F13</f>
        <v>11774.329999999998</v>
      </c>
      <c r="G13" s="25">
        <f t="shared" si="0"/>
        <v>-1657.3999999999996</v>
      </c>
      <c r="H13" s="26">
        <f t="shared" si="0"/>
        <v>-1576.7700000000004</v>
      </c>
      <c r="I13" s="11"/>
      <c r="J13" s="26">
        <f>I13+февраль!J13</f>
        <v>0</v>
      </c>
      <c r="K13" s="10"/>
      <c r="L13" s="25">
        <f>K13+февраль!L13</f>
        <v>0</v>
      </c>
    </row>
    <row r="14" spans="1:13" ht="15.75">
      <c r="A14" s="1">
        <f t="shared" si="1"/>
        <v>12</v>
      </c>
      <c r="B14" s="17" t="s">
        <v>24</v>
      </c>
      <c r="C14" s="10">
        <f>897.26+180.93</f>
        <v>1078.19</v>
      </c>
      <c r="D14" s="25">
        <f>C14+февраль!D14</f>
        <v>3101.13</v>
      </c>
      <c r="E14" s="11">
        <f>512.27+180.93</f>
        <v>693.2</v>
      </c>
      <c r="F14" s="25">
        <f>E14+февраль!F14</f>
        <v>2735.42</v>
      </c>
      <c r="G14" s="25">
        <f t="shared" si="0"/>
        <v>-384.99</v>
      </c>
      <c r="H14" s="26">
        <f t="shared" si="0"/>
        <v>-365.71000000000004</v>
      </c>
      <c r="I14" s="11"/>
      <c r="J14" s="26">
        <f>I14+февраль!J14</f>
        <v>0</v>
      </c>
      <c r="K14" s="10"/>
      <c r="L14" s="25">
        <f>K14+февраль!L14</f>
        <v>0</v>
      </c>
    </row>
    <row r="15" spans="1:13" ht="15.75">
      <c r="A15" s="1">
        <f t="shared" si="1"/>
        <v>13</v>
      </c>
      <c r="B15" s="17" t="s">
        <v>25</v>
      </c>
      <c r="C15" s="10"/>
      <c r="D15" s="25">
        <f>C15+февраль!D15</f>
        <v>0</v>
      </c>
      <c r="E15" s="11"/>
      <c r="F15" s="25">
        <f>E15+февраль!F15</f>
        <v>0</v>
      </c>
      <c r="G15" s="25">
        <f t="shared" si="0"/>
        <v>0</v>
      </c>
      <c r="H15" s="26">
        <f t="shared" si="0"/>
        <v>0</v>
      </c>
      <c r="I15" s="11"/>
      <c r="J15" s="26">
        <f>I15+февраль!J15</f>
        <v>0</v>
      </c>
      <c r="K15" s="10"/>
      <c r="L15" s="25">
        <f>K15+февраль!L15</f>
        <v>0</v>
      </c>
    </row>
    <row r="16" spans="1:13" ht="15.75">
      <c r="A16" s="1">
        <f t="shared" si="1"/>
        <v>14</v>
      </c>
      <c r="B16" s="17" t="s">
        <v>26</v>
      </c>
      <c r="C16" s="10"/>
      <c r="D16" s="25">
        <f>C16+февраль!D16</f>
        <v>0</v>
      </c>
      <c r="E16" s="11"/>
      <c r="F16" s="25">
        <f>E16+февраль!F16</f>
        <v>0</v>
      </c>
      <c r="G16" s="25">
        <f t="shared" si="0"/>
        <v>0</v>
      </c>
      <c r="H16" s="26">
        <f t="shared" si="0"/>
        <v>0</v>
      </c>
      <c r="I16" s="11"/>
      <c r="J16" s="26">
        <f>I16+февраль!J16</f>
        <v>0</v>
      </c>
      <c r="K16" s="10"/>
      <c r="L16" s="25">
        <f>K16+февраль!L16</f>
        <v>0</v>
      </c>
    </row>
    <row r="17" spans="1:12" ht="15.75">
      <c r="A17" s="1">
        <f t="shared" si="1"/>
        <v>15</v>
      </c>
      <c r="B17" s="17" t="s">
        <v>27</v>
      </c>
      <c r="C17" s="10"/>
      <c r="D17" s="25">
        <f>C17+февраль!D17</f>
        <v>0</v>
      </c>
      <c r="E17" s="11"/>
      <c r="F17" s="25">
        <f>E17+февраль!F17</f>
        <v>0</v>
      </c>
      <c r="G17" s="25">
        <f t="shared" si="0"/>
        <v>0</v>
      </c>
      <c r="H17" s="26">
        <f t="shared" si="0"/>
        <v>0</v>
      </c>
      <c r="I17" s="11"/>
      <c r="J17" s="26">
        <f>I17+февраль!J17</f>
        <v>0</v>
      </c>
      <c r="K17" s="10"/>
      <c r="L17" s="25">
        <f>K17+февраль!L17</f>
        <v>0</v>
      </c>
    </row>
    <row r="18" spans="1:12">
      <c r="A18" s="1">
        <f t="shared" si="1"/>
        <v>16</v>
      </c>
      <c r="B18" s="8" t="s">
        <v>32</v>
      </c>
      <c r="C18" s="10"/>
      <c r="D18" s="25">
        <f>C18+февраль!D18</f>
        <v>0</v>
      </c>
      <c r="E18" s="11"/>
      <c r="F18" s="25">
        <f>E18+февраль!F18</f>
        <v>0</v>
      </c>
      <c r="G18" s="25">
        <f t="shared" si="0"/>
        <v>0</v>
      </c>
      <c r="H18" s="26">
        <f t="shared" si="0"/>
        <v>0</v>
      </c>
      <c r="I18" s="11"/>
      <c r="J18" s="26">
        <f>I18+февраль!J18</f>
        <v>0</v>
      </c>
      <c r="K18" s="10"/>
      <c r="L18" s="25">
        <f>K18+февраль!L18</f>
        <v>0</v>
      </c>
    </row>
    <row r="19" spans="1:12">
      <c r="A19" s="1">
        <f t="shared" si="1"/>
        <v>17</v>
      </c>
      <c r="B19" s="8" t="s">
        <v>31</v>
      </c>
      <c r="C19" s="10"/>
      <c r="D19" s="25">
        <f>C19+февраль!D19</f>
        <v>0</v>
      </c>
      <c r="E19" s="11"/>
      <c r="F19" s="25">
        <f>E19+февраль!F19</f>
        <v>0</v>
      </c>
      <c r="G19" s="25">
        <f t="shared" si="0"/>
        <v>0</v>
      </c>
      <c r="H19" s="26">
        <f t="shared" si="0"/>
        <v>0</v>
      </c>
      <c r="I19" s="11"/>
      <c r="J19" s="26">
        <f>I19+февраль!J19</f>
        <v>0</v>
      </c>
      <c r="K19" s="11"/>
      <c r="L19" s="25">
        <f>K19+февраль!L19</f>
        <v>0</v>
      </c>
    </row>
    <row r="20" spans="1:12">
      <c r="A20" s="1">
        <f t="shared" si="1"/>
        <v>18</v>
      </c>
      <c r="B20" s="8"/>
      <c r="C20" s="10"/>
      <c r="D20" s="25">
        <f>C20+февраль!D20</f>
        <v>0</v>
      </c>
      <c r="E20" s="11"/>
      <c r="F20" s="25">
        <f>E20+февраль!F20</f>
        <v>0</v>
      </c>
      <c r="G20" s="25">
        <f t="shared" si="0"/>
        <v>0</v>
      </c>
      <c r="H20" s="26">
        <f t="shared" si="0"/>
        <v>0</v>
      </c>
      <c r="I20" s="11"/>
      <c r="J20" s="26">
        <f>I20+февраль!J20</f>
        <v>0</v>
      </c>
      <c r="K20" s="10"/>
      <c r="L20" s="25">
        <f>K20+февраль!L20</f>
        <v>0</v>
      </c>
    </row>
    <row r="21" spans="1:12">
      <c r="A21" s="1">
        <f t="shared" si="1"/>
        <v>19</v>
      </c>
      <c r="B21" s="8"/>
      <c r="C21" s="10"/>
      <c r="D21" s="25">
        <f>C21+февраль!D21</f>
        <v>0</v>
      </c>
      <c r="E21" s="11"/>
      <c r="F21" s="25">
        <f>E21+февраль!F21</f>
        <v>0</v>
      </c>
      <c r="G21" s="25">
        <f t="shared" si="0"/>
        <v>0</v>
      </c>
      <c r="H21" s="26">
        <f t="shared" si="0"/>
        <v>0</v>
      </c>
      <c r="I21" s="11"/>
      <c r="J21" s="26">
        <f>I21+февраль!J21</f>
        <v>0</v>
      </c>
      <c r="K21" s="10"/>
      <c r="L21" s="25">
        <f>K21+февраль!L21</f>
        <v>0</v>
      </c>
    </row>
    <row r="22" spans="1:12">
      <c r="A22" s="1">
        <f t="shared" si="1"/>
        <v>20</v>
      </c>
      <c r="B22" s="8"/>
      <c r="C22" s="10"/>
      <c r="D22" s="25">
        <f>C22+февраль!D22</f>
        <v>0</v>
      </c>
      <c r="E22" s="11"/>
      <c r="F22" s="25">
        <f>E22+февраль!F22</f>
        <v>0</v>
      </c>
      <c r="G22" s="25">
        <f t="shared" si="0"/>
        <v>0</v>
      </c>
      <c r="H22" s="26">
        <f t="shared" si="0"/>
        <v>0</v>
      </c>
      <c r="I22" s="11"/>
      <c r="J22" s="26">
        <f>I22+февраль!J22</f>
        <v>0</v>
      </c>
      <c r="K22" s="10"/>
      <c r="L22" s="25">
        <f>K22+февраль!L22</f>
        <v>0</v>
      </c>
    </row>
    <row r="23" spans="1:12">
      <c r="A23" s="30"/>
      <c r="B23" s="27" t="s">
        <v>13</v>
      </c>
      <c r="C23" s="25">
        <f t="shared" ref="C23:L23" si="2">SUM(C3:C22)</f>
        <v>38492.310000000005</v>
      </c>
      <c r="D23" s="25">
        <f t="shared" si="2"/>
        <v>110922.06</v>
      </c>
      <c r="E23" s="26">
        <f t="shared" si="2"/>
        <v>24631.89</v>
      </c>
      <c r="F23" s="25">
        <f t="shared" si="2"/>
        <v>96507.489999999991</v>
      </c>
      <c r="G23" s="25">
        <f t="shared" si="2"/>
        <v>-13860.419999999998</v>
      </c>
      <c r="H23" s="26">
        <f t="shared" si="2"/>
        <v>-14414.570000000011</v>
      </c>
      <c r="I23" s="26">
        <f t="shared" si="2"/>
        <v>52680.369999999995</v>
      </c>
      <c r="J23" s="26">
        <f t="shared" si="2"/>
        <v>208417.68000000002</v>
      </c>
      <c r="K23" s="25">
        <f t="shared" si="2"/>
        <v>15814.87</v>
      </c>
      <c r="L23" s="25">
        <f t="shared" si="2"/>
        <v>68214.58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K13" sqref="K13"/>
    </sheetView>
  </sheetViews>
  <sheetFormatPr defaultRowHeight="12.75"/>
  <cols>
    <col min="1" max="1" width="4.85546875" customWidth="1"/>
    <col min="2" max="2" width="26" customWidth="1"/>
    <col min="3" max="3" width="9.28515625" bestFit="1" customWidth="1"/>
    <col min="4" max="4" width="10.7109375" customWidth="1"/>
    <col min="5" max="5" width="9.28515625" customWidth="1"/>
    <col min="6" max="6" width="10.5703125" customWidth="1"/>
    <col min="7" max="7" width="9.7109375" customWidth="1"/>
    <col min="8" max="8" width="11" customWidth="1"/>
    <col min="9" max="9" width="8.85546875" customWidth="1"/>
    <col min="10" max="10" width="10" customWidth="1"/>
    <col min="11" max="11" width="9.85546875" customWidth="1"/>
    <col min="12" max="12" width="9.28515625" bestFit="1" customWidth="1"/>
    <col min="13" max="13" width="10.7109375" bestFit="1" customWidth="1"/>
  </cols>
  <sheetData>
    <row r="2" spans="1:13">
      <c r="B2" s="15" t="s">
        <v>30</v>
      </c>
    </row>
    <row r="4" spans="1:13" ht="45">
      <c r="A4" s="20" t="s">
        <v>0</v>
      </c>
      <c r="B4" s="21" t="s">
        <v>1</v>
      </c>
      <c r="C4" s="22" t="s">
        <v>2</v>
      </c>
      <c r="D4" s="21" t="s">
        <v>3</v>
      </c>
      <c r="E4" s="23" t="s">
        <v>4</v>
      </c>
      <c r="F4" s="21" t="s">
        <v>5</v>
      </c>
      <c r="G4" s="21" t="s">
        <v>6</v>
      </c>
      <c r="H4" s="24" t="s">
        <v>7</v>
      </c>
      <c r="I4" s="23" t="s">
        <v>8</v>
      </c>
      <c r="J4" s="23" t="s">
        <v>9</v>
      </c>
      <c r="K4" s="21" t="s">
        <v>10</v>
      </c>
      <c r="L4" s="21" t="s">
        <v>11</v>
      </c>
    </row>
    <row r="5" spans="1:13" ht="15.75">
      <c r="A5" s="1">
        <v>1</v>
      </c>
      <c r="B5" s="17" t="s">
        <v>14</v>
      </c>
      <c r="C5" s="10">
        <f>6433.16+1297.17</f>
        <v>7730.33</v>
      </c>
      <c r="D5" s="25">
        <f>C5+март!D3</f>
        <v>29964.58</v>
      </c>
      <c r="E5" s="11">
        <f>3662.54+1297.17</f>
        <v>4959.71</v>
      </c>
      <c r="F5" s="25">
        <f>E5+март!F3</f>
        <v>24563.35</v>
      </c>
      <c r="G5" s="25">
        <f>E5-C5</f>
        <v>-2770.62</v>
      </c>
      <c r="H5" s="26">
        <f t="shared" ref="G5:H24" si="0">F5-D5</f>
        <v>-5401.2300000000032</v>
      </c>
      <c r="I5" s="11"/>
      <c r="J5" s="26">
        <f>I5+март!J3</f>
        <v>0</v>
      </c>
      <c r="K5" s="10"/>
      <c r="L5" s="25">
        <f>K5+март!L3</f>
        <v>0</v>
      </c>
    </row>
    <row r="6" spans="1:13" ht="15.75">
      <c r="A6" s="1">
        <f>A5+1</f>
        <v>2</v>
      </c>
      <c r="B6" s="17" t="s">
        <v>15</v>
      </c>
      <c r="C6" s="10">
        <f>13094.44+2640.35</f>
        <v>15734.79</v>
      </c>
      <c r="D6" s="25">
        <f>C6+март!D4</f>
        <v>60991.740000000005</v>
      </c>
      <c r="E6" s="11">
        <f>7419.98+2640.35</f>
        <v>10060.33</v>
      </c>
      <c r="F6" s="25">
        <f>E6+март!F4</f>
        <v>49945.919999999998</v>
      </c>
      <c r="G6" s="25">
        <f t="shared" si="0"/>
        <v>-5674.4600000000009</v>
      </c>
      <c r="H6" s="26">
        <f t="shared" si="0"/>
        <v>-11045.820000000007</v>
      </c>
      <c r="I6" s="11">
        <v>33493.760000000002</v>
      </c>
      <c r="J6" s="26">
        <f>I6+март!J4</f>
        <v>205435.98</v>
      </c>
      <c r="K6" s="10">
        <v>8808.26</v>
      </c>
      <c r="L6" s="25">
        <f>K6+март!L4</f>
        <v>54025.98</v>
      </c>
      <c r="M6" s="32">
        <f>L6-J6</f>
        <v>-151410</v>
      </c>
    </row>
    <row r="7" spans="1:13" ht="15.75">
      <c r="A7" s="1">
        <f t="shared" ref="A7:A24" si="1">A6+1</f>
        <v>3</v>
      </c>
      <c r="B7" s="17" t="s">
        <v>16</v>
      </c>
      <c r="C7" s="10"/>
      <c r="D7" s="25">
        <f>C7+март!D5</f>
        <v>0</v>
      </c>
      <c r="E7" s="11"/>
      <c r="F7" s="25">
        <f>E7+март!F5</f>
        <v>0</v>
      </c>
      <c r="G7" s="25">
        <f t="shared" si="0"/>
        <v>0</v>
      </c>
      <c r="H7" s="26">
        <f t="shared" si="0"/>
        <v>0</v>
      </c>
      <c r="I7" s="11"/>
      <c r="J7" s="26">
        <f>I7+март!J5</f>
        <v>0</v>
      </c>
      <c r="K7" s="10"/>
      <c r="L7" s="25">
        <f>K7+март!L5</f>
        <v>0</v>
      </c>
    </row>
    <row r="8" spans="1:13" ht="15.75">
      <c r="A8" s="1">
        <f t="shared" si="1"/>
        <v>4</v>
      </c>
      <c r="B8" s="17" t="s">
        <v>17</v>
      </c>
      <c r="C8" s="10"/>
      <c r="D8" s="25">
        <f>C8+март!D6</f>
        <v>0</v>
      </c>
      <c r="E8" s="11"/>
      <c r="F8" s="25">
        <f>E8+март!F6</f>
        <v>0</v>
      </c>
      <c r="G8" s="25">
        <f t="shared" si="0"/>
        <v>0</v>
      </c>
      <c r="H8" s="26">
        <f t="shared" si="0"/>
        <v>0</v>
      </c>
      <c r="I8" s="11"/>
      <c r="J8" s="26">
        <f>I8+март!J6</f>
        <v>0</v>
      </c>
      <c r="K8" s="10"/>
      <c r="L8" s="25">
        <f>K8+март!L6</f>
        <v>0</v>
      </c>
    </row>
    <row r="9" spans="1:13" ht="15.75">
      <c r="A9" s="1">
        <f t="shared" si="1"/>
        <v>5</v>
      </c>
      <c r="B9" s="18" t="s">
        <v>18</v>
      </c>
      <c r="C9" s="10">
        <f>980.96+197.8</f>
        <v>1178.76</v>
      </c>
      <c r="D9" s="25">
        <f>C9+март!D7</f>
        <v>4569.1500000000005</v>
      </c>
      <c r="E9" s="11">
        <f>560.74+197.8</f>
        <v>758.54</v>
      </c>
      <c r="F9" s="25">
        <f>E9+март!F7</f>
        <v>3749.1099999999997</v>
      </c>
      <c r="G9" s="25">
        <f t="shared" si="0"/>
        <v>-420.22</v>
      </c>
      <c r="H9" s="26">
        <f t="shared" si="0"/>
        <v>-820.04000000000087</v>
      </c>
      <c r="I9" s="11"/>
      <c r="J9" s="26">
        <f>I9+март!J7</f>
        <v>0</v>
      </c>
      <c r="K9" s="10"/>
      <c r="L9" s="25">
        <f>K9+март!L7</f>
        <v>0</v>
      </c>
    </row>
    <row r="10" spans="1:13" ht="15.75">
      <c r="A10" s="1">
        <f t="shared" si="1"/>
        <v>6</v>
      </c>
      <c r="B10" s="17" t="s">
        <v>28</v>
      </c>
      <c r="C10" s="10"/>
      <c r="D10" s="25">
        <f>C10+март!D8</f>
        <v>0</v>
      </c>
      <c r="E10" s="11"/>
      <c r="F10" s="25">
        <f>E10+март!F8</f>
        <v>0</v>
      </c>
      <c r="G10" s="25">
        <f t="shared" si="0"/>
        <v>0</v>
      </c>
      <c r="H10" s="26">
        <f t="shared" si="0"/>
        <v>0</v>
      </c>
      <c r="I10" s="11"/>
      <c r="J10" s="26">
        <f>I10+март!J8</f>
        <v>0</v>
      </c>
      <c r="K10" s="10"/>
      <c r="L10" s="25">
        <f>K10+март!L8</f>
        <v>0</v>
      </c>
    </row>
    <row r="11" spans="1:13" ht="15.75">
      <c r="A11" s="1">
        <f t="shared" si="1"/>
        <v>7</v>
      </c>
      <c r="B11" s="17" t="s">
        <v>19</v>
      </c>
      <c r="C11" s="10"/>
      <c r="D11" s="25">
        <f>C11+март!D9</f>
        <v>0</v>
      </c>
      <c r="E11" s="11"/>
      <c r="F11" s="25">
        <f>E11+март!F9</f>
        <v>0</v>
      </c>
      <c r="G11" s="25">
        <f t="shared" si="0"/>
        <v>0</v>
      </c>
      <c r="H11" s="26">
        <f t="shared" si="0"/>
        <v>0</v>
      </c>
      <c r="I11" s="11"/>
      <c r="J11" s="26">
        <f>I11+март!J9</f>
        <v>0</v>
      </c>
      <c r="K11" s="10"/>
      <c r="L11" s="25">
        <f>K11+март!L9</f>
        <v>0</v>
      </c>
    </row>
    <row r="12" spans="1:13" ht="15.75">
      <c r="A12" s="1">
        <f t="shared" si="1"/>
        <v>8</v>
      </c>
      <c r="B12" s="17" t="s">
        <v>20</v>
      </c>
      <c r="C12" s="10">
        <f>3745.43+478.14</f>
        <v>4223.57</v>
      </c>
      <c r="D12" s="25">
        <f>C12+март!D10</f>
        <v>16017.69</v>
      </c>
      <c r="E12" s="11">
        <f>1844.48+478.14</f>
        <v>2322.62</v>
      </c>
      <c r="F12" s="25">
        <f>E12+март!F10</f>
        <v>12081.59</v>
      </c>
      <c r="G12" s="25">
        <f t="shared" si="0"/>
        <v>-1900.9499999999998</v>
      </c>
      <c r="H12" s="26">
        <f t="shared" si="0"/>
        <v>-3936.1000000000004</v>
      </c>
      <c r="I12" s="11">
        <v>1287.3699999999999</v>
      </c>
      <c r="J12" s="26">
        <f>I12+март!J10</f>
        <v>19525.099999999999</v>
      </c>
      <c r="K12" s="10">
        <v>1182.27</v>
      </c>
      <c r="L12" s="25">
        <f>K12+март!L10</f>
        <v>18035.419999999998</v>
      </c>
    </row>
    <row r="13" spans="1:13" ht="15.75">
      <c r="A13" s="1">
        <f t="shared" si="1"/>
        <v>9</v>
      </c>
      <c r="B13" s="17" t="s">
        <v>21</v>
      </c>
      <c r="C13" s="10">
        <v>4223.57</v>
      </c>
      <c r="D13" s="25">
        <f>C13+март!D11</f>
        <v>16017.69</v>
      </c>
      <c r="E13" s="11">
        <v>2322.62</v>
      </c>
      <c r="F13" s="25">
        <f>E13+март!F11</f>
        <v>12081.59</v>
      </c>
      <c r="G13" s="25">
        <f t="shared" si="0"/>
        <v>-1900.9499999999998</v>
      </c>
      <c r="H13" s="26">
        <f t="shared" si="0"/>
        <v>-3936.1000000000004</v>
      </c>
      <c r="I13" s="11">
        <v>1287.3699999999999</v>
      </c>
      <c r="J13" s="26">
        <f>I13+март!J11</f>
        <v>19525.099999999999</v>
      </c>
      <c r="K13" s="10">
        <v>1160.78</v>
      </c>
      <c r="L13" s="25">
        <f>K13+март!L11</f>
        <v>7304.49</v>
      </c>
    </row>
    <row r="14" spans="1:13" ht="15.75">
      <c r="A14" s="1">
        <f t="shared" si="1"/>
        <v>10</v>
      </c>
      <c r="B14" s="17" t="s">
        <v>22</v>
      </c>
      <c r="C14" s="10"/>
      <c r="D14" s="25">
        <f>C14+март!D12</f>
        <v>0</v>
      </c>
      <c r="E14" s="11"/>
      <c r="F14" s="25">
        <f>E14+март!F12</f>
        <v>0</v>
      </c>
      <c r="G14" s="25">
        <f t="shared" si="0"/>
        <v>0</v>
      </c>
      <c r="H14" s="26">
        <f t="shared" si="0"/>
        <v>0</v>
      </c>
      <c r="I14" s="11"/>
      <c r="J14" s="26">
        <f>I14+март!J12</f>
        <v>0</v>
      </c>
      <c r="K14" s="10"/>
      <c r="L14" s="25">
        <f>K14+март!L12</f>
        <v>0</v>
      </c>
    </row>
    <row r="15" spans="1:13" ht="15.75">
      <c r="A15" s="1">
        <f t="shared" si="1"/>
        <v>11</v>
      </c>
      <c r="B15" s="17" t="s">
        <v>23</v>
      </c>
      <c r="C15" s="10">
        <f>3862.95+778.91</f>
        <v>4641.8599999999997</v>
      </c>
      <c r="D15" s="25">
        <f>C15+март!D13</f>
        <v>17992.96</v>
      </c>
      <c r="E15" s="11">
        <f>2204.14+778.91</f>
        <v>2983.0499999999997</v>
      </c>
      <c r="F15" s="25">
        <f>E15+март!F13</f>
        <v>14757.379999999997</v>
      </c>
      <c r="G15" s="25">
        <f t="shared" si="0"/>
        <v>-1658.81</v>
      </c>
      <c r="H15" s="26">
        <f t="shared" si="0"/>
        <v>-3235.5800000000017</v>
      </c>
      <c r="I15" s="11"/>
      <c r="J15" s="26">
        <f>I15+март!J13</f>
        <v>0</v>
      </c>
      <c r="K15" s="10"/>
      <c r="L15" s="25">
        <f>K15+март!L13</f>
        <v>0</v>
      </c>
    </row>
    <row r="16" spans="1:13" ht="15.75">
      <c r="A16" s="1">
        <f t="shared" si="1"/>
        <v>12</v>
      </c>
      <c r="B16" s="17" t="s">
        <v>24</v>
      </c>
      <c r="C16" s="10">
        <f>897.26+180.93</f>
        <v>1078.19</v>
      </c>
      <c r="D16" s="25">
        <f>C16+март!D14</f>
        <v>4179.32</v>
      </c>
      <c r="E16" s="11">
        <f>512.88+180.93</f>
        <v>693.81</v>
      </c>
      <c r="F16" s="25">
        <f>E16+март!F14</f>
        <v>3429.23</v>
      </c>
      <c r="G16" s="25">
        <f t="shared" si="0"/>
        <v>-384.38000000000011</v>
      </c>
      <c r="H16" s="26">
        <f t="shared" si="0"/>
        <v>-750.08999999999969</v>
      </c>
      <c r="I16" s="11"/>
      <c r="J16" s="26">
        <f>I16+март!J14</f>
        <v>0</v>
      </c>
      <c r="K16" s="10"/>
      <c r="L16" s="25">
        <f>K16+март!L14</f>
        <v>0</v>
      </c>
    </row>
    <row r="17" spans="1:12" ht="15.75">
      <c r="A17" s="1">
        <f t="shared" si="1"/>
        <v>13</v>
      </c>
      <c r="B17" s="17" t="s">
        <v>25</v>
      </c>
      <c r="C17" s="10"/>
      <c r="D17" s="25">
        <f>C17+март!D15</f>
        <v>0</v>
      </c>
      <c r="E17" s="11"/>
      <c r="F17" s="25">
        <f>E17+март!F15</f>
        <v>0</v>
      </c>
      <c r="G17" s="25">
        <f t="shared" si="0"/>
        <v>0</v>
      </c>
      <c r="H17" s="26">
        <f t="shared" si="0"/>
        <v>0</v>
      </c>
      <c r="I17" s="11"/>
      <c r="J17" s="26">
        <f>I17+март!J15</f>
        <v>0</v>
      </c>
      <c r="K17" s="10"/>
      <c r="L17" s="25">
        <f>K17+март!L15</f>
        <v>0</v>
      </c>
    </row>
    <row r="18" spans="1:12" ht="15.75">
      <c r="A18" s="1">
        <f t="shared" si="1"/>
        <v>14</v>
      </c>
      <c r="B18" s="17" t="s">
        <v>26</v>
      </c>
      <c r="C18" s="10"/>
      <c r="D18" s="25">
        <f>C18+март!D16</f>
        <v>0</v>
      </c>
      <c r="E18" s="11"/>
      <c r="F18" s="25">
        <f>E18+март!F16</f>
        <v>0</v>
      </c>
      <c r="G18" s="25">
        <f t="shared" si="0"/>
        <v>0</v>
      </c>
      <c r="H18" s="26">
        <f t="shared" si="0"/>
        <v>0</v>
      </c>
      <c r="I18" s="11"/>
      <c r="J18" s="26">
        <f>I18+март!J16</f>
        <v>0</v>
      </c>
      <c r="K18" s="10"/>
      <c r="L18" s="25">
        <f>K18+март!L16</f>
        <v>0</v>
      </c>
    </row>
    <row r="19" spans="1:12" ht="15.75">
      <c r="A19" s="1">
        <f t="shared" si="1"/>
        <v>15</v>
      </c>
      <c r="B19" s="17" t="s">
        <v>27</v>
      </c>
      <c r="C19" s="10"/>
      <c r="D19" s="25">
        <f>C19+март!D17</f>
        <v>0</v>
      </c>
      <c r="E19" s="11"/>
      <c r="F19" s="25">
        <f>E19+март!F17</f>
        <v>0</v>
      </c>
      <c r="G19" s="25">
        <f t="shared" si="0"/>
        <v>0</v>
      </c>
      <c r="H19" s="26">
        <f t="shared" si="0"/>
        <v>0</v>
      </c>
      <c r="I19" s="11"/>
      <c r="J19" s="26">
        <f>I19+март!J17</f>
        <v>0</v>
      </c>
      <c r="K19" s="10"/>
      <c r="L19" s="25">
        <f>K19+март!L17</f>
        <v>0</v>
      </c>
    </row>
    <row r="20" spans="1:12">
      <c r="A20" s="1">
        <f t="shared" si="1"/>
        <v>16</v>
      </c>
      <c r="B20" s="8" t="s">
        <v>32</v>
      </c>
      <c r="C20" s="10"/>
      <c r="D20" s="25">
        <f>C20+март!D18</f>
        <v>0</v>
      </c>
      <c r="E20" s="11"/>
      <c r="F20" s="25">
        <f>E20+март!F18</f>
        <v>0</v>
      </c>
      <c r="G20" s="25">
        <f t="shared" si="0"/>
        <v>0</v>
      </c>
      <c r="H20" s="26">
        <f t="shared" si="0"/>
        <v>0</v>
      </c>
      <c r="I20" s="11"/>
      <c r="J20" s="26">
        <f>I20+март!J18</f>
        <v>0</v>
      </c>
      <c r="K20" s="10"/>
      <c r="L20" s="25">
        <f>K20+март!L18</f>
        <v>0</v>
      </c>
    </row>
    <row r="21" spans="1:12">
      <c r="A21" s="1">
        <f t="shared" si="1"/>
        <v>17</v>
      </c>
      <c r="B21" s="8" t="s">
        <v>31</v>
      </c>
      <c r="C21" s="10"/>
      <c r="D21" s="25">
        <f>C21+март!D19</f>
        <v>0</v>
      </c>
      <c r="E21" s="11"/>
      <c r="F21" s="25">
        <f>E21+март!F19</f>
        <v>0</v>
      </c>
      <c r="G21" s="25">
        <f t="shared" si="0"/>
        <v>0</v>
      </c>
      <c r="H21" s="26">
        <f t="shared" si="0"/>
        <v>0</v>
      </c>
      <c r="I21" s="11"/>
      <c r="J21" s="26">
        <f>I21+март!J19</f>
        <v>0</v>
      </c>
      <c r="K21" s="11"/>
      <c r="L21" s="25">
        <f>K21+март!L19</f>
        <v>0</v>
      </c>
    </row>
    <row r="22" spans="1:12">
      <c r="A22" s="1">
        <f t="shared" si="1"/>
        <v>18</v>
      </c>
      <c r="B22" s="8"/>
      <c r="C22" s="10"/>
      <c r="D22" s="25">
        <f>C22+март!D20</f>
        <v>0</v>
      </c>
      <c r="E22" s="11"/>
      <c r="F22" s="25">
        <f>E22+март!F20</f>
        <v>0</v>
      </c>
      <c r="G22" s="25">
        <f t="shared" si="0"/>
        <v>0</v>
      </c>
      <c r="H22" s="26">
        <f t="shared" si="0"/>
        <v>0</v>
      </c>
      <c r="I22" s="11"/>
      <c r="J22" s="26">
        <f>I22+март!J20</f>
        <v>0</v>
      </c>
      <c r="K22" s="10"/>
      <c r="L22" s="25">
        <f>K22+март!L20</f>
        <v>0</v>
      </c>
    </row>
    <row r="23" spans="1:12">
      <c r="A23" s="1">
        <f t="shared" si="1"/>
        <v>19</v>
      </c>
      <c r="B23" s="8"/>
      <c r="C23" s="10"/>
      <c r="D23" s="25">
        <f>C23+март!D21</f>
        <v>0</v>
      </c>
      <c r="E23" s="11"/>
      <c r="F23" s="25">
        <f>E23+март!F21</f>
        <v>0</v>
      </c>
      <c r="G23" s="25">
        <f t="shared" si="0"/>
        <v>0</v>
      </c>
      <c r="H23" s="26">
        <f t="shared" si="0"/>
        <v>0</v>
      </c>
      <c r="I23" s="11"/>
      <c r="J23" s="26">
        <f>I23+март!J21</f>
        <v>0</v>
      </c>
      <c r="K23" s="10"/>
      <c r="L23" s="25">
        <f>K23+март!L21</f>
        <v>0</v>
      </c>
    </row>
    <row r="24" spans="1:12">
      <c r="A24" s="1">
        <f t="shared" si="1"/>
        <v>20</v>
      </c>
      <c r="B24" s="8"/>
      <c r="C24" s="10"/>
      <c r="D24" s="25">
        <f>C24+март!D22</f>
        <v>0</v>
      </c>
      <c r="E24" s="11"/>
      <c r="F24" s="25">
        <f>E24+март!F22</f>
        <v>0</v>
      </c>
      <c r="G24" s="25">
        <f t="shared" si="0"/>
        <v>0</v>
      </c>
      <c r="H24" s="26">
        <f t="shared" si="0"/>
        <v>0</v>
      </c>
      <c r="I24" s="11"/>
      <c r="J24" s="26">
        <f>I24+март!J22</f>
        <v>0</v>
      </c>
      <c r="K24" s="10"/>
      <c r="L24" s="25">
        <f>K24+март!L22</f>
        <v>0</v>
      </c>
    </row>
    <row r="25" spans="1:12">
      <c r="A25" s="1"/>
      <c r="B25" s="27" t="s">
        <v>13</v>
      </c>
      <c r="C25" s="25">
        <f t="shared" ref="C25:L25" si="2">SUM(C5:C24)</f>
        <v>38811.070000000007</v>
      </c>
      <c r="D25" s="25">
        <f>C25+март!D23</f>
        <v>149733.13</v>
      </c>
      <c r="E25" s="26">
        <f t="shared" si="2"/>
        <v>24100.68</v>
      </c>
      <c r="F25" s="25">
        <f t="shared" si="2"/>
        <v>120608.16999999997</v>
      </c>
      <c r="G25" s="25">
        <f t="shared" si="2"/>
        <v>-14710.39</v>
      </c>
      <c r="H25" s="26">
        <f t="shared" si="2"/>
        <v>-29124.96000000001</v>
      </c>
      <c r="I25" s="26">
        <f t="shared" si="2"/>
        <v>36068.500000000007</v>
      </c>
      <c r="J25" s="26">
        <f t="shared" si="2"/>
        <v>244486.18000000002</v>
      </c>
      <c r="K25" s="25">
        <f t="shared" si="2"/>
        <v>11151.310000000001</v>
      </c>
      <c r="L25" s="25">
        <f t="shared" si="2"/>
        <v>79365.89</v>
      </c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4:M25"/>
  <sheetViews>
    <sheetView workbookViewId="0">
      <selection activeCell="K11" sqref="K11"/>
    </sheetView>
  </sheetViews>
  <sheetFormatPr defaultRowHeight="12.75"/>
  <cols>
    <col min="1" max="1" width="4" customWidth="1"/>
    <col min="2" max="2" width="23.140625" customWidth="1"/>
    <col min="3" max="3" width="9.5703125" bestFit="1" customWidth="1"/>
    <col min="4" max="4" width="10.85546875" customWidth="1"/>
    <col min="5" max="5" width="9.5703125" bestFit="1" customWidth="1"/>
    <col min="6" max="6" width="11" customWidth="1"/>
    <col min="7" max="7" width="10.140625" bestFit="1" customWidth="1"/>
    <col min="8" max="9" width="9.42578125" bestFit="1" customWidth="1"/>
    <col min="10" max="10" width="11.42578125" customWidth="1"/>
    <col min="11" max="11" width="10.140625" bestFit="1" customWidth="1"/>
    <col min="12" max="12" width="11.28515625" customWidth="1"/>
    <col min="13" max="13" width="10.7109375" bestFit="1" customWidth="1"/>
  </cols>
  <sheetData>
    <row r="4" spans="1:13">
      <c r="A4" s="1" t="s">
        <v>0</v>
      </c>
      <c r="B4" s="6" t="s">
        <v>1</v>
      </c>
      <c r="C4" s="5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7" t="s">
        <v>7</v>
      </c>
      <c r="I4" s="7" t="s">
        <v>8</v>
      </c>
      <c r="J4" s="7" t="s">
        <v>9</v>
      </c>
      <c r="K4" s="6" t="s">
        <v>10</v>
      </c>
      <c r="L4" s="6" t="s">
        <v>11</v>
      </c>
    </row>
    <row r="5" spans="1:13" ht="15.75">
      <c r="A5" s="1">
        <v>1</v>
      </c>
      <c r="B5" s="17" t="s">
        <v>14</v>
      </c>
      <c r="C5" s="10">
        <f>1297.17+6433.16</f>
        <v>7730.33</v>
      </c>
      <c r="D5" s="25">
        <f>C5+апрель!D5</f>
        <v>37694.910000000003</v>
      </c>
      <c r="E5" s="11">
        <f>499.39+3778.51</f>
        <v>4277.9000000000005</v>
      </c>
      <c r="F5" s="25">
        <f>E5+апрель!F5</f>
        <v>28841.25</v>
      </c>
      <c r="G5" s="25">
        <f>E5-C5</f>
        <v>-3452.4299999999994</v>
      </c>
      <c r="H5" s="26">
        <f>F5-D5</f>
        <v>-8853.6600000000035</v>
      </c>
      <c r="I5" s="11"/>
      <c r="J5" s="26">
        <f>I5+апрель!J5</f>
        <v>0</v>
      </c>
      <c r="K5" s="10"/>
      <c r="L5" s="25">
        <f>K5+апрель!L5</f>
        <v>0</v>
      </c>
    </row>
    <row r="6" spans="1:13" ht="15.75">
      <c r="A6" s="1">
        <f>A5+1</f>
        <v>2</v>
      </c>
      <c r="B6" s="17" t="s">
        <v>15</v>
      </c>
      <c r="C6" s="10">
        <f>2640.35+13094.44</f>
        <v>15734.79</v>
      </c>
      <c r="D6" s="25">
        <f>C6+апрель!D6</f>
        <v>76726.53</v>
      </c>
      <c r="E6" s="11">
        <f>1016.52+7691.02</f>
        <v>8707.5400000000009</v>
      </c>
      <c r="F6" s="25">
        <f>E6+апрель!F6</f>
        <v>58653.46</v>
      </c>
      <c r="G6" s="25">
        <f t="shared" ref="G6:H24" si="0">E6-C6</f>
        <v>-7027.25</v>
      </c>
      <c r="H6" s="26">
        <f t="shared" si="0"/>
        <v>-18073.07</v>
      </c>
      <c r="I6" s="11">
        <v>1652.61</v>
      </c>
      <c r="J6" s="26">
        <f>I6+апрель!J6</f>
        <v>207088.59</v>
      </c>
      <c r="K6" s="19">
        <v>434.61</v>
      </c>
      <c r="L6" s="25">
        <f>K6+апрель!L6</f>
        <v>54460.590000000004</v>
      </c>
      <c r="M6" s="32">
        <f>L6-J6</f>
        <v>-152628</v>
      </c>
    </row>
    <row r="7" spans="1:13" ht="15.75">
      <c r="A7" s="1">
        <f t="shared" ref="A7:A24" si="1">A6+1</f>
        <v>3</v>
      </c>
      <c r="B7" s="17" t="s">
        <v>16</v>
      </c>
      <c r="C7" s="10"/>
      <c r="D7" s="25">
        <f>C7+апрель!D7</f>
        <v>0</v>
      </c>
      <c r="E7" s="11"/>
      <c r="F7" s="25">
        <f>E7+апрель!F7</f>
        <v>0</v>
      </c>
      <c r="G7" s="25">
        <f t="shared" si="0"/>
        <v>0</v>
      </c>
      <c r="H7" s="26">
        <f t="shared" si="0"/>
        <v>0</v>
      </c>
      <c r="I7" s="11"/>
      <c r="J7" s="26">
        <f>I7+апрель!J7</f>
        <v>0</v>
      </c>
      <c r="K7" s="10"/>
      <c r="L7" s="25">
        <f>K7+апрель!L7</f>
        <v>0</v>
      </c>
    </row>
    <row r="8" spans="1:13" ht="15.75">
      <c r="A8" s="1">
        <f t="shared" si="1"/>
        <v>4</v>
      </c>
      <c r="B8" s="17" t="s">
        <v>17</v>
      </c>
      <c r="C8" s="10"/>
      <c r="D8" s="25">
        <f>C8+апрель!D8</f>
        <v>0</v>
      </c>
      <c r="E8" s="11"/>
      <c r="F8" s="25">
        <f>E8+апрель!F8</f>
        <v>0</v>
      </c>
      <c r="G8" s="25">
        <f t="shared" si="0"/>
        <v>0</v>
      </c>
      <c r="H8" s="26">
        <f t="shared" si="0"/>
        <v>0</v>
      </c>
      <c r="I8" s="11"/>
      <c r="J8" s="26">
        <f>I8+апрель!J8</f>
        <v>0</v>
      </c>
      <c r="K8" s="10"/>
      <c r="L8" s="25">
        <f>K8+апрель!L8</f>
        <v>0</v>
      </c>
    </row>
    <row r="9" spans="1:13" ht="15.75">
      <c r="A9" s="1">
        <f t="shared" si="1"/>
        <v>5</v>
      </c>
      <c r="B9" s="18" t="s">
        <v>18</v>
      </c>
      <c r="C9" s="10">
        <f>197.8+980.96</f>
        <v>1178.76</v>
      </c>
      <c r="D9" s="25">
        <f>C9+апрель!D9</f>
        <v>5747.9100000000008</v>
      </c>
      <c r="E9" s="11">
        <f>76.15+576.19</f>
        <v>652.34</v>
      </c>
      <c r="F9" s="25">
        <f>E9+апрель!F9</f>
        <v>4401.45</v>
      </c>
      <c r="G9" s="25">
        <f t="shared" si="0"/>
        <v>-526.41999999999996</v>
      </c>
      <c r="H9" s="26">
        <f t="shared" si="0"/>
        <v>-1346.4600000000009</v>
      </c>
      <c r="I9" s="11"/>
      <c r="J9" s="26">
        <f>I9+апрель!J9</f>
        <v>0</v>
      </c>
      <c r="K9" s="10"/>
      <c r="L9" s="25">
        <f>K9+апрель!L9</f>
        <v>0</v>
      </c>
    </row>
    <row r="10" spans="1:13" ht="15.75">
      <c r="A10" s="1">
        <f t="shared" si="1"/>
        <v>6</v>
      </c>
      <c r="B10" s="17" t="s">
        <v>28</v>
      </c>
      <c r="C10" s="10"/>
      <c r="D10" s="25">
        <f>C10+апрель!D10</f>
        <v>0</v>
      </c>
      <c r="E10" s="11"/>
      <c r="F10" s="25">
        <f>E10+апрель!F10</f>
        <v>0</v>
      </c>
      <c r="G10" s="25">
        <f t="shared" si="0"/>
        <v>0</v>
      </c>
      <c r="H10" s="26">
        <f t="shared" si="0"/>
        <v>0</v>
      </c>
      <c r="I10" s="11"/>
      <c r="J10" s="26">
        <f>I10+апрель!J10</f>
        <v>0</v>
      </c>
      <c r="K10" s="10"/>
      <c r="L10" s="25">
        <f>K10+апрель!L10</f>
        <v>0</v>
      </c>
    </row>
    <row r="11" spans="1:13" ht="15.75">
      <c r="A11" s="1">
        <f t="shared" si="1"/>
        <v>7</v>
      </c>
      <c r="B11" s="17" t="s">
        <v>19</v>
      </c>
      <c r="C11" s="10"/>
      <c r="D11" s="25">
        <f>C11+апрель!D11</f>
        <v>0</v>
      </c>
      <c r="E11" s="11"/>
      <c r="F11" s="25">
        <f>E11+апрель!F11</f>
        <v>0</v>
      </c>
      <c r="G11" s="25">
        <f t="shared" si="0"/>
        <v>0</v>
      </c>
      <c r="H11" s="26">
        <f t="shared" si="0"/>
        <v>0</v>
      </c>
      <c r="I11" s="11"/>
      <c r="J11" s="26">
        <f>I11+апрель!J11</f>
        <v>0</v>
      </c>
      <c r="K11" s="10"/>
      <c r="L11" s="25">
        <f>K11+апрель!L11</f>
        <v>0</v>
      </c>
    </row>
    <row r="12" spans="1:13" ht="15.75">
      <c r="A12" s="1">
        <f t="shared" si="1"/>
        <v>8</v>
      </c>
      <c r="B12" s="17" t="s">
        <v>20</v>
      </c>
      <c r="C12" s="10">
        <f>478.14+3745.43</f>
        <v>4223.57</v>
      </c>
      <c r="D12" s="25">
        <f>C12+апрель!D12</f>
        <v>20241.260000000002</v>
      </c>
      <c r="E12" s="11">
        <f>239.07+2262.35</f>
        <v>2501.42</v>
      </c>
      <c r="F12" s="25">
        <f>E12+апрель!F12</f>
        <v>14583.01</v>
      </c>
      <c r="G12" s="25">
        <f t="shared" si="0"/>
        <v>-1722.1499999999996</v>
      </c>
      <c r="H12" s="26">
        <f t="shared" si="0"/>
        <v>-5658.2500000000018</v>
      </c>
      <c r="I12" s="11">
        <v>1330.28</v>
      </c>
      <c r="J12" s="26">
        <f>I12+апрель!J12</f>
        <v>20855.379999999997</v>
      </c>
      <c r="K12" s="10">
        <v>1330.28</v>
      </c>
      <c r="L12" s="25">
        <f>K12+апрель!L12</f>
        <v>19365.699999999997</v>
      </c>
    </row>
    <row r="13" spans="1:13" ht="15.75">
      <c r="A13" s="1">
        <f t="shared" si="1"/>
        <v>9</v>
      </c>
      <c r="B13" s="17" t="s">
        <v>21</v>
      </c>
      <c r="C13" s="10">
        <f>478.14+3745.43</f>
        <v>4223.57</v>
      </c>
      <c r="D13" s="25">
        <f>C13+апрель!D13</f>
        <v>20241.260000000002</v>
      </c>
      <c r="E13" s="11">
        <f>239.07+2262.35</f>
        <v>2501.42</v>
      </c>
      <c r="F13" s="25">
        <f>E13+апрель!F13</f>
        <v>14583.01</v>
      </c>
      <c r="G13" s="25">
        <f t="shared" si="0"/>
        <v>-1722.1499999999996</v>
      </c>
      <c r="H13" s="26">
        <f t="shared" si="0"/>
        <v>-5658.2500000000018</v>
      </c>
      <c r="I13" s="11">
        <v>1330.28</v>
      </c>
      <c r="J13" s="26">
        <f>I13+апрель!J13</f>
        <v>20855.379999999997</v>
      </c>
      <c r="K13" s="10">
        <v>1330.28</v>
      </c>
      <c r="L13" s="25">
        <f>K13+апрель!L13</f>
        <v>8634.77</v>
      </c>
    </row>
    <row r="14" spans="1:13" ht="15.75">
      <c r="A14" s="1">
        <f t="shared" si="1"/>
        <v>10</v>
      </c>
      <c r="B14" s="17" t="s">
        <v>22</v>
      </c>
      <c r="C14" s="10"/>
      <c r="D14" s="25">
        <f>C14+апрель!D14</f>
        <v>0</v>
      </c>
      <c r="E14" s="11"/>
      <c r="F14" s="25">
        <f>E14+апрель!F14</f>
        <v>0</v>
      </c>
      <c r="G14" s="25">
        <f t="shared" si="0"/>
        <v>0</v>
      </c>
      <c r="H14" s="26">
        <f t="shared" si="0"/>
        <v>0</v>
      </c>
      <c r="I14" s="11"/>
      <c r="J14" s="26">
        <f>I14+апрель!J14</f>
        <v>0</v>
      </c>
      <c r="K14" s="10"/>
      <c r="L14" s="25">
        <f>K14+апрель!L14</f>
        <v>0</v>
      </c>
    </row>
    <row r="15" spans="1:13" ht="15.75">
      <c r="A15" s="1">
        <f t="shared" si="1"/>
        <v>11</v>
      </c>
      <c r="B15" s="17" t="s">
        <v>23</v>
      </c>
      <c r="C15" s="10">
        <f>778.91+3862.95</f>
        <v>4641.8599999999997</v>
      </c>
      <c r="D15" s="25">
        <f>C15+апрель!D15</f>
        <v>22634.82</v>
      </c>
      <c r="E15" s="11">
        <f>299.87+2268.91</f>
        <v>2568.7799999999997</v>
      </c>
      <c r="F15" s="25">
        <f>E15+апрель!F15</f>
        <v>17326.159999999996</v>
      </c>
      <c r="G15" s="25">
        <f t="shared" si="0"/>
        <v>-2073.08</v>
      </c>
      <c r="H15" s="26">
        <f t="shared" si="0"/>
        <v>-5308.6600000000035</v>
      </c>
      <c r="I15" s="11"/>
      <c r="J15" s="26">
        <f>I15+апрель!J15</f>
        <v>0</v>
      </c>
      <c r="K15" s="10"/>
      <c r="L15" s="25">
        <f>K15+апрель!L15</f>
        <v>0</v>
      </c>
    </row>
    <row r="16" spans="1:13" ht="15.75">
      <c r="A16" s="1">
        <f t="shared" si="1"/>
        <v>12</v>
      </c>
      <c r="B16" s="17" t="s">
        <v>24</v>
      </c>
      <c r="C16" s="10">
        <f>180.93+897.26</f>
        <v>1078.19</v>
      </c>
      <c r="D16" s="25">
        <f>C16+апрель!D16</f>
        <v>5257.51</v>
      </c>
      <c r="E16" s="11">
        <f>69.66+527</f>
        <v>596.66</v>
      </c>
      <c r="F16" s="25">
        <f>E16+апрель!F16</f>
        <v>4025.89</v>
      </c>
      <c r="G16" s="25">
        <f t="shared" si="0"/>
        <v>-481.53000000000009</v>
      </c>
      <c r="H16" s="26">
        <f t="shared" si="0"/>
        <v>-1231.6200000000003</v>
      </c>
      <c r="I16" s="11"/>
      <c r="J16" s="26">
        <f>I16+апрель!J16</f>
        <v>0</v>
      </c>
      <c r="K16" s="10"/>
      <c r="L16" s="25">
        <f>K16+апрель!L16</f>
        <v>0</v>
      </c>
    </row>
    <row r="17" spans="1:12" ht="15.75">
      <c r="A17" s="1">
        <f t="shared" si="1"/>
        <v>13</v>
      </c>
      <c r="B17" s="17" t="s">
        <v>25</v>
      </c>
      <c r="C17" s="10"/>
      <c r="D17" s="25">
        <f>C17+апрель!D17</f>
        <v>0</v>
      </c>
      <c r="E17" s="11"/>
      <c r="F17" s="25">
        <f>E17+апрель!F17</f>
        <v>0</v>
      </c>
      <c r="G17" s="25">
        <f t="shared" si="0"/>
        <v>0</v>
      </c>
      <c r="H17" s="26">
        <f t="shared" si="0"/>
        <v>0</v>
      </c>
      <c r="I17" s="11"/>
      <c r="J17" s="26">
        <f>I17+апрель!J17</f>
        <v>0</v>
      </c>
      <c r="K17" s="10"/>
      <c r="L17" s="25">
        <f>K17+апрель!L17</f>
        <v>0</v>
      </c>
    </row>
    <row r="18" spans="1:12" ht="15.75">
      <c r="A18" s="1">
        <f t="shared" si="1"/>
        <v>14</v>
      </c>
      <c r="B18" s="17" t="s">
        <v>26</v>
      </c>
      <c r="C18" s="10"/>
      <c r="D18" s="25">
        <f>C18+апрель!D18</f>
        <v>0</v>
      </c>
      <c r="E18" s="11"/>
      <c r="F18" s="25">
        <f>E18+апрель!F18</f>
        <v>0</v>
      </c>
      <c r="G18" s="25">
        <f t="shared" si="0"/>
        <v>0</v>
      </c>
      <c r="H18" s="26">
        <f t="shared" si="0"/>
        <v>0</v>
      </c>
      <c r="I18" s="11"/>
      <c r="J18" s="26">
        <f>I18+апрель!J18</f>
        <v>0</v>
      </c>
      <c r="K18" s="10"/>
      <c r="L18" s="25">
        <f>K18+апрель!L18</f>
        <v>0</v>
      </c>
    </row>
    <row r="19" spans="1:12" ht="15.75">
      <c r="A19" s="1">
        <f t="shared" si="1"/>
        <v>15</v>
      </c>
      <c r="B19" s="17" t="s">
        <v>27</v>
      </c>
      <c r="C19" s="10"/>
      <c r="D19" s="25">
        <f>C19+апрель!D19</f>
        <v>0</v>
      </c>
      <c r="E19" s="11"/>
      <c r="F19" s="25">
        <f>E19+апрель!F19</f>
        <v>0</v>
      </c>
      <c r="G19" s="25">
        <f t="shared" si="0"/>
        <v>0</v>
      </c>
      <c r="H19" s="26">
        <f t="shared" si="0"/>
        <v>0</v>
      </c>
      <c r="I19" s="11"/>
      <c r="J19" s="26">
        <f>I19+апрель!J19</f>
        <v>0</v>
      </c>
      <c r="K19" s="10"/>
      <c r="L19" s="25">
        <f>K19+апрель!L19</f>
        <v>0</v>
      </c>
    </row>
    <row r="20" spans="1:12">
      <c r="A20" s="1">
        <f t="shared" si="1"/>
        <v>16</v>
      </c>
      <c r="B20" s="8" t="s">
        <v>32</v>
      </c>
      <c r="C20" s="10"/>
      <c r="D20" s="25">
        <f>C20+апрель!D20</f>
        <v>0</v>
      </c>
      <c r="E20" s="11"/>
      <c r="F20" s="25">
        <f>E20+апрель!F20</f>
        <v>0</v>
      </c>
      <c r="G20" s="25">
        <f t="shared" si="0"/>
        <v>0</v>
      </c>
      <c r="H20" s="26">
        <f t="shared" si="0"/>
        <v>0</v>
      </c>
      <c r="I20" s="11"/>
      <c r="J20" s="26">
        <f>I20+апрель!J20</f>
        <v>0</v>
      </c>
      <c r="K20" s="10"/>
      <c r="L20" s="25">
        <f>K20+апрель!L20</f>
        <v>0</v>
      </c>
    </row>
    <row r="21" spans="1:12">
      <c r="A21" s="1">
        <f t="shared" si="1"/>
        <v>17</v>
      </c>
      <c r="B21" s="8" t="s">
        <v>31</v>
      </c>
      <c r="C21" s="10"/>
      <c r="D21" s="25">
        <f>C21+апрель!D21</f>
        <v>0</v>
      </c>
      <c r="E21" s="11"/>
      <c r="F21" s="25">
        <f>E21+апрель!F21</f>
        <v>0</v>
      </c>
      <c r="G21" s="25">
        <f t="shared" si="0"/>
        <v>0</v>
      </c>
      <c r="H21" s="26">
        <f t="shared" si="0"/>
        <v>0</v>
      </c>
      <c r="I21" s="11"/>
      <c r="J21" s="26">
        <f>I21+апрель!J21</f>
        <v>0</v>
      </c>
      <c r="K21" s="11"/>
      <c r="L21" s="25">
        <f>K21+апрель!L21</f>
        <v>0</v>
      </c>
    </row>
    <row r="22" spans="1:12">
      <c r="A22" s="1">
        <f t="shared" si="1"/>
        <v>18</v>
      </c>
      <c r="B22" s="8"/>
      <c r="C22" s="10"/>
      <c r="D22" s="25">
        <f>C22+апрель!D22</f>
        <v>0</v>
      </c>
      <c r="E22" s="11"/>
      <c r="F22" s="25">
        <f>E22+апрель!F22</f>
        <v>0</v>
      </c>
      <c r="G22" s="25">
        <f t="shared" si="0"/>
        <v>0</v>
      </c>
      <c r="H22" s="26">
        <f t="shared" si="0"/>
        <v>0</v>
      </c>
      <c r="I22" s="11"/>
      <c r="J22" s="26">
        <f>I22+апрель!J22</f>
        <v>0</v>
      </c>
      <c r="K22" s="10"/>
      <c r="L22" s="25">
        <f>K22+апрель!L22</f>
        <v>0</v>
      </c>
    </row>
    <row r="23" spans="1:12">
      <c r="A23" s="1">
        <f t="shared" si="1"/>
        <v>19</v>
      </c>
      <c r="B23" s="8"/>
      <c r="C23" s="10"/>
      <c r="D23" s="25">
        <f>C23+апрель!D23</f>
        <v>0</v>
      </c>
      <c r="E23" s="11"/>
      <c r="F23" s="25">
        <f>E23+апрель!F23</f>
        <v>0</v>
      </c>
      <c r="G23" s="25">
        <f t="shared" si="0"/>
        <v>0</v>
      </c>
      <c r="H23" s="26">
        <f t="shared" si="0"/>
        <v>0</v>
      </c>
      <c r="I23" s="11"/>
      <c r="J23" s="26">
        <f>I23+апрель!J23</f>
        <v>0</v>
      </c>
      <c r="K23" s="10"/>
      <c r="L23" s="25">
        <f>K23+апрель!L23</f>
        <v>0</v>
      </c>
    </row>
    <row r="24" spans="1:12">
      <c r="A24" s="1">
        <f t="shared" si="1"/>
        <v>20</v>
      </c>
      <c r="B24" s="8"/>
      <c r="C24" s="10"/>
      <c r="D24" s="25">
        <f>C24+апрель!D24</f>
        <v>0</v>
      </c>
      <c r="E24" s="11"/>
      <c r="F24" s="25">
        <f>E24+апрель!F24</f>
        <v>0</v>
      </c>
      <c r="G24" s="25">
        <f t="shared" si="0"/>
        <v>0</v>
      </c>
      <c r="H24" s="26">
        <f t="shared" si="0"/>
        <v>0</v>
      </c>
      <c r="I24" s="11"/>
      <c r="J24" s="26">
        <f>I24+апрель!J24</f>
        <v>0</v>
      </c>
      <c r="K24" s="10"/>
      <c r="L24" s="25">
        <f>K24+апрель!L24</f>
        <v>0</v>
      </c>
    </row>
    <row r="25" spans="1:12">
      <c r="A25" s="1"/>
      <c r="B25" s="27" t="s">
        <v>13</v>
      </c>
      <c r="C25" s="25">
        <f t="shared" ref="C25:L25" si="2">SUM(C5:C24)</f>
        <v>38811.070000000007</v>
      </c>
      <c r="D25" s="25">
        <f t="shared" si="2"/>
        <v>188544.20000000004</v>
      </c>
      <c r="E25" s="26">
        <f t="shared" si="2"/>
        <v>21806.06</v>
      </c>
      <c r="F25" s="25">
        <f t="shared" si="2"/>
        <v>142414.22999999998</v>
      </c>
      <c r="G25" s="25">
        <f t="shared" si="2"/>
        <v>-17005.009999999998</v>
      </c>
      <c r="H25" s="26">
        <f t="shared" si="2"/>
        <v>-46129.970000000008</v>
      </c>
      <c r="I25" s="26">
        <f t="shared" si="2"/>
        <v>4313.17</v>
      </c>
      <c r="J25" s="26">
        <f t="shared" si="2"/>
        <v>248799.35</v>
      </c>
      <c r="K25" s="25">
        <f t="shared" si="2"/>
        <v>3095.17</v>
      </c>
      <c r="L25" s="25">
        <f t="shared" si="2"/>
        <v>82461.060000000012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J11" sqref="J11"/>
    </sheetView>
  </sheetViews>
  <sheetFormatPr defaultRowHeight="12.75"/>
  <cols>
    <col min="1" max="1" width="4.140625" style="12" customWidth="1"/>
    <col min="2" max="2" width="22.85546875" customWidth="1"/>
    <col min="3" max="3" width="9.28515625" bestFit="1" customWidth="1"/>
    <col min="4" max="4" width="10.7109375" customWidth="1"/>
    <col min="5" max="5" width="9.28515625" bestFit="1" customWidth="1"/>
    <col min="6" max="6" width="10.28515625" customWidth="1"/>
    <col min="7" max="7" width="9.7109375" bestFit="1" customWidth="1"/>
    <col min="8" max="8" width="11.140625" customWidth="1"/>
    <col min="9" max="9" width="10.140625" bestFit="1" customWidth="1"/>
    <col min="10" max="10" width="10.42578125" customWidth="1"/>
    <col min="11" max="11" width="10.140625" bestFit="1" customWidth="1"/>
    <col min="12" max="12" width="11.140625" customWidth="1"/>
    <col min="13" max="13" width="10.7109375" bestFit="1" customWidth="1"/>
  </cols>
  <sheetData>
    <row r="1" spans="1:13">
      <c r="D1" s="15" t="s">
        <v>29</v>
      </c>
    </row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1297.17+6706.59</f>
        <v>8003.76</v>
      </c>
      <c r="D3" s="25">
        <f>C3+май!D5</f>
        <v>45698.670000000006</v>
      </c>
      <c r="E3" s="11">
        <f>1297.11+4010.09</f>
        <v>5307.2</v>
      </c>
      <c r="F3" s="25">
        <f>E3+май!F5</f>
        <v>34148.449999999997</v>
      </c>
      <c r="G3" s="25">
        <f>E3-C3</f>
        <v>-2696.5600000000004</v>
      </c>
      <c r="H3" s="26">
        <f>F3-D3</f>
        <v>-11550.220000000008</v>
      </c>
      <c r="I3" s="11"/>
      <c r="J3" s="26">
        <f>I3+май!J5</f>
        <v>0</v>
      </c>
      <c r="K3" s="10"/>
      <c r="L3" s="25">
        <f>K3+май!L5</f>
        <v>0</v>
      </c>
    </row>
    <row r="4" spans="1:13" ht="15.75">
      <c r="A4" s="1">
        <f>A3+1</f>
        <v>2</v>
      </c>
      <c r="B4" s="17" t="s">
        <v>15</v>
      </c>
      <c r="C4" s="10">
        <f>2640.35+13650.99</f>
        <v>16291.34</v>
      </c>
      <c r="D4" s="25">
        <f>C4+май!D6</f>
        <v>93017.87</v>
      </c>
      <c r="E4" s="11">
        <f>2640.22+8162.36</f>
        <v>10802.58</v>
      </c>
      <c r="F4" s="25">
        <f>E4+май!F6</f>
        <v>69456.039999999994</v>
      </c>
      <c r="G4" s="25">
        <f t="shared" ref="G4:H22" si="0">E4-C4</f>
        <v>-5488.76</v>
      </c>
      <c r="H4" s="26">
        <f t="shared" si="0"/>
        <v>-23561.83</v>
      </c>
      <c r="I4" s="11">
        <v>145413.76999999999</v>
      </c>
      <c r="J4" s="26">
        <f>I4+май!J6</f>
        <v>352502.36</v>
      </c>
      <c r="K4" s="10">
        <v>145413.76999999999</v>
      </c>
      <c r="L4" s="25">
        <f>K4+май!L6</f>
        <v>199874.36</v>
      </c>
      <c r="M4" s="32">
        <f>L4-J4</f>
        <v>-152628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C5+май!D7</f>
        <v>0</v>
      </c>
      <c r="E5" s="11"/>
      <c r="F5" s="25">
        <f>E5+май!F7</f>
        <v>0</v>
      </c>
      <c r="G5" s="25">
        <f t="shared" si="0"/>
        <v>0</v>
      </c>
      <c r="H5" s="26">
        <f t="shared" si="0"/>
        <v>0</v>
      </c>
      <c r="I5" s="11"/>
      <c r="J5" s="26">
        <f>I5+май!J7</f>
        <v>0</v>
      </c>
      <c r="K5" s="10"/>
      <c r="L5" s="25">
        <f>K5+май!L7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C6+май!D8</f>
        <v>0</v>
      </c>
      <c r="E6" s="11"/>
      <c r="F6" s="25">
        <f>E6+май!F8</f>
        <v>0</v>
      </c>
      <c r="G6" s="25">
        <f t="shared" si="0"/>
        <v>0</v>
      </c>
      <c r="H6" s="26">
        <f t="shared" si="0"/>
        <v>0</v>
      </c>
      <c r="I6" s="11"/>
      <c r="J6" s="26">
        <f>I6+май!J8</f>
        <v>0</v>
      </c>
      <c r="K6" s="10"/>
      <c r="L6" s="25">
        <f>K6+май!L8</f>
        <v>0</v>
      </c>
    </row>
    <row r="7" spans="1:13" ht="15.75">
      <c r="A7" s="1">
        <f t="shared" si="1"/>
        <v>5</v>
      </c>
      <c r="B7" s="18" t="s">
        <v>18</v>
      </c>
      <c r="C7" s="10">
        <f>197.8+1022.65</f>
        <v>1220.45</v>
      </c>
      <c r="D7" s="25">
        <f>C7+май!D9</f>
        <v>6968.3600000000006</v>
      </c>
      <c r="E7" s="11">
        <f>197.79+611.49</f>
        <v>809.28</v>
      </c>
      <c r="F7" s="25">
        <f>E7+май!F9</f>
        <v>5210.7299999999996</v>
      </c>
      <c r="G7" s="25">
        <f t="shared" si="0"/>
        <v>-411.17000000000007</v>
      </c>
      <c r="H7" s="26">
        <f t="shared" si="0"/>
        <v>-1757.630000000001</v>
      </c>
      <c r="I7" s="11"/>
      <c r="J7" s="26">
        <f>I7+май!J9</f>
        <v>0</v>
      </c>
      <c r="K7" s="10"/>
      <c r="L7" s="25">
        <f>K7+май!L9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C8+май!D10</f>
        <v>0</v>
      </c>
      <c r="E8" s="11"/>
      <c r="F8" s="25">
        <f>E8+май!F10</f>
        <v>0</v>
      </c>
      <c r="G8" s="25">
        <f t="shared" si="0"/>
        <v>0</v>
      </c>
      <c r="H8" s="26">
        <f t="shared" si="0"/>
        <v>0</v>
      </c>
      <c r="I8" s="11"/>
      <c r="J8" s="26">
        <f>I8+май!J10</f>
        <v>0</v>
      </c>
      <c r="K8" s="10"/>
      <c r="L8" s="25">
        <f>K8+май!L10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C9+май!D11</f>
        <v>0</v>
      </c>
      <c r="E9" s="11"/>
      <c r="F9" s="25">
        <f>E9+май!F11</f>
        <v>0</v>
      </c>
      <c r="G9" s="25">
        <f t="shared" si="0"/>
        <v>0</v>
      </c>
      <c r="H9" s="26">
        <f t="shared" si="0"/>
        <v>0</v>
      </c>
      <c r="I9" s="11"/>
      <c r="J9" s="26">
        <f>I9+май!J11</f>
        <v>0</v>
      </c>
      <c r="K9" s="10"/>
      <c r="L9" s="25">
        <f>K9+май!L11</f>
        <v>0</v>
      </c>
    </row>
    <row r="10" spans="1:13" ht="15.75">
      <c r="A10" s="1">
        <f t="shared" si="1"/>
        <v>8</v>
      </c>
      <c r="B10" s="17" t="s">
        <v>20</v>
      </c>
      <c r="C10" s="10">
        <f>478.14+3904.81</f>
        <v>4382.95</v>
      </c>
      <c r="D10" s="25">
        <f>C10+май!D12</f>
        <v>24624.210000000003</v>
      </c>
      <c r="E10" s="11">
        <f>478.12+1766.77</f>
        <v>2244.89</v>
      </c>
      <c r="F10" s="25">
        <f>E10+май!F12</f>
        <v>16827.900000000001</v>
      </c>
      <c r="G10" s="25">
        <f t="shared" si="0"/>
        <v>-2138.06</v>
      </c>
      <c r="H10" s="26">
        <f t="shared" si="0"/>
        <v>-7796.3100000000013</v>
      </c>
      <c r="I10" s="11">
        <v>1287.3699999999999</v>
      </c>
      <c r="J10" s="26">
        <f>I10+май!J12</f>
        <v>22142.749999999996</v>
      </c>
      <c r="K10" s="10">
        <v>1287.3699999999999</v>
      </c>
      <c r="L10" s="25">
        <f>K10+май!L12</f>
        <v>20653.069999999996</v>
      </c>
    </row>
    <row r="11" spans="1:13" ht="15.75">
      <c r="A11" s="1">
        <f t="shared" si="1"/>
        <v>9</v>
      </c>
      <c r="B11" s="17" t="s">
        <v>21</v>
      </c>
      <c r="C11" s="10">
        <f>478.14+3904.81</f>
        <v>4382.95</v>
      </c>
      <c r="D11" s="25">
        <f>C11+май!D13</f>
        <v>24624.210000000003</v>
      </c>
      <c r="E11" s="11">
        <f>478.12+1766.77</f>
        <v>2244.89</v>
      </c>
      <c r="F11" s="25">
        <f>E11+май!F13</f>
        <v>16827.900000000001</v>
      </c>
      <c r="G11" s="25">
        <f t="shared" si="0"/>
        <v>-2138.06</v>
      </c>
      <c r="H11" s="26">
        <f t="shared" si="0"/>
        <v>-7796.3100000000013</v>
      </c>
      <c r="I11" s="11">
        <v>1287.3699999999999</v>
      </c>
      <c r="J11" s="26">
        <f>I11+май!J13</f>
        <v>22142.749999999996</v>
      </c>
      <c r="K11" s="10"/>
      <c r="L11" s="25">
        <f>K11+май!L13</f>
        <v>8634.77</v>
      </c>
    </row>
    <row r="12" spans="1:13" ht="15.75">
      <c r="A12" s="1">
        <f t="shared" si="1"/>
        <v>10</v>
      </c>
      <c r="B12" s="17" t="s">
        <v>22</v>
      </c>
      <c r="C12" s="10"/>
      <c r="D12" s="25">
        <f>C12+май!D14</f>
        <v>0</v>
      </c>
      <c r="E12" s="11"/>
      <c r="F12" s="25">
        <f>E12+май!F14</f>
        <v>0</v>
      </c>
      <c r="G12" s="25">
        <f t="shared" si="0"/>
        <v>0</v>
      </c>
      <c r="H12" s="26">
        <f t="shared" si="0"/>
        <v>0</v>
      </c>
      <c r="I12" s="11"/>
      <c r="J12" s="26">
        <f>I12+май!J14</f>
        <v>0</v>
      </c>
      <c r="K12" s="10"/>
      <c r="L12" s="25">
        <f>K12+май!L14</f>
        <v>0</v>
      </c>
    </row>
    <row r="13" spans="1:13" ht="15.75">
      <c r="A13" s="1">
        <f t="shared" si="1"/>
        <v>11</v>
      </c>
      <c r="B13" s="17" t="s">
        <v>23</v>
      </c>
      <c r="C13" s="10">
        <f>778.91+4027.13</f>
        <v>4806.04</v>
      </c>
      <c r="D13" s="25">
        <f>C13+май!D15</f>
        <v>27440.86</v>
      </c>
      <c r="E13" s="11">
        <f>778.87+2407.95</f>
        <v>3186.8199999999997</v>
      </c>
      <c r="F13" s="25">
        <f>E13+май!F15</f>
        <v>20512.979999999996</v>
      </c>
      <c r="G13" s="25">
        <f t="shared" si="0"/>
        <v>-1619.2200000000003</v>
      </c>
      <c r="H13" s="26">
        <f t="shared" si="0"/>
        <v>-6927.8800000000047</v>
      </c>
      <c r="I13" s="11"/>
      <c r="J13" s="26">
        <f>I13+май!J15</f>
        <v>0</v>
      </c>
      <c r="K13" s="10"/>
      <c r="L13" s="25">
        <f>K13+май!L15</f>
        <v>0</v>
      </c>
    </row>
    <row r="14" spans="1:13" ht="15.75">
      <c r="A14" s="1">
        <f t="shared" si="1"/>
        <v>12</v>
      </c>
      <c r="B14" s="17" t="s">
        <v>24</v>
      </c>
      <c r="C14" s="10">
        <f>180.93+935.4</f>
        <v>1116.33</v>
      </c>
      <c r="D14" s="25">
        <f>C14+май!D16</f>
        <v>6373.84</v>
      </c>
      <c r="E14" s="11">
        <f>180.92+559.31</f>
        <v>740.2299999999999</v>
      </c>
      <c r="F14" s="25">
        <f>E14+май!F16</f>
        <v>4766.12</v>
      </c>
      <c r="G14" s="25">
        <f t="shared" si="0"/>
        <v>-376.1</v>
      </c>
      <c r="H14" s="26">
        <f t="shared" si="0"/>
        <v>-1607.7200000000003</v>
      </c>
      <c r="I14" s="11"/>
      <c r="J14" s="26">
        <f>I14+май!J16</f>
        <v>0</v>
      </c>
      <c r="K14" s="10"/>
      <c r="L14" s="25">
        <f>K14+май!L16</f>
        <v>0</v>
      </c>
    </row>
    <row r="15" spans="1:13" ht="15.75">
      <c r="A15" s="1">
        <f t="shared" si="1"/>
        <v>13</v>
      </c>
      <c r="B15" s="17" t="s">
        <v>25</v>
      </c>
      <c r="C15" s="10"/>
      <c r="D15" s="25">
        <f>C15+май!D17</f>
        <v>0</v>
      </c>
      <c r="E15" s="11"/>
      <c r="F15" s="25">
        <f>E15+май!F17</f>
        <v>0</v>
      </c>
      <c r="G15" s="25">
        <f t="shared" si="0"/>
        <v>0</v>
      </c>
      <c r="H15" s="26">
        <f t="shared" si="0"/>
        <v>0</v>
      </c>
      <c r="I15" s="11"/>
      <c r="J15" s="26">
        <f>I15+май!J17</f>
        <v>0</v>
      </c>
      <c r="K15" s="10"/>
      <c r="L15" s="25">
        <f>K15+май!L17</f>
        <v>0</v>
      </c>
    </row>
    <row r="16" spans="1:13" ht="15.75">
      <c r="A16" s="1">
        <f t="shared" si="1"/>
        <v>14</v>
      </c>
      <c r="B16" s="17" t="s">
        <v>26</v>
      </c>
      <c r="C16" s="10"/>
      <c r="D16" s="25">
        <f>C16+май!D18</f>
        <v>0</v>
      </c>
      <c r="E16" s="11"/>
      <c r="F16" s="25">
        <f>E16+май!F18</f>
        <v>0</v>
      </c>
      <c r="G16" s="25">
        <f t="shared" si="0"/>
        <v>0</v>
      </c>
      <c r="H16" s="26">
        <f t="shared" si="0"/>
        <v>0</v>
      </c>
      <c r="I16" s="11"/>
      <c r="J16" s="26">
        <f>I16+май!J18</f>
        <v>0</v>
      </c>
      <c r="K16" s="10"/>
      <c r="L16" s="25">
        <f>K16+май!L18</f>
        <v>0</v>
      </c>
    </row>
    <row r="17" spans="1:12" ht="15.75">
      <c r="A17" s="1">
        <f t="shared" si="1"/>
        <v>15</v>
      </c>
      <c r="B17" s="17" t="s">
        <v>27</v>
      </c>
      <c r="C17" s="10"/>
      <c r="D17" s="25">
        <f>C17+май!D19</f>
        <v>0</v>
      </c>
      <c r="E17" s="11"/>
      <c r="F17" s="25">
        <f>E17+май!F19</f>
        <v>0</v>
      </c>
      <c r="G17" s="25">
        <f t="shared" si="0"/>
        <v>0</v>
      </c>
      <c r="H17" s="26">
        <f t="shared" si="0"/>
        <v>0</v>
      </c>
      <c r="I17" s="11"/>
      <c r="J17" s="26">
        <f>I17+май!J19</f>
        <v>0</v>
      </c>
      <c r="K17" s="10"/>
      <c r="L17" s="25">
        <f>K17+май!L19</f>
        <v>0</v>
      </c>
    </row>
    <row r="18" spans="1:12">
      <c r="A18" s="1">
        <f t="shared" si="1"/>
        <v>16</v>
      </c>
      <c r="B18" s="8" t="s">
        <v>32</v>
      </c>
      <c r="C18" s="10"/>
      <c r="D18" s="25">
        <f>C18+май!D20</f>
        <v>0</v>
      </c>
      <c r="E18" s="11"/>
      <c r="F18" s="25">
        <f>E18+май!F20</f>
        <v>0</v>
      </c>
      <c r="G18" s="25">
        <f t="shared" si="0"/>
        <v>0</v>
      </c>
      <c r="H18" s="26">
        <f t="shared" si="0"/>
        <v>0</v>
      </c>
      <c r="I18" s="11"/>
      <c r="J18" s="26">
        <f>I18+май!J20</f>
        <v>0</v>
      </c>
      <c r="K18" s="10"/>
      <c r="L18" s="25">
        <f>K18+май!L20</f>
        <v>0</v>
      </c>
    </row>
    <row r="19" spans="1:12">
      <c r="A19" s="1">
        <f t="shared" si="1"/>
        <v>17</v>
      </c>
      <c r="B19" s="8" t="s">
        <v>31</v>
      </c>
      <c r="C19" s="10"/>
      <c r="D19" s="25">
        <f>C19+май!D21</f>
        <v>0</v>
      </c>
      <c r="E19" s="11"/>
      <c r="F19" s="25">
        <f>E19+май!F21</f>
        <v>0</v>
      </c>
      <c r="G19" s="25">
        <f t="shared" si="0"/>
        <v>0</v>
      </c>
      <c r="H19" s="26">
        <f t="shared" si="0"/>
        <v>0</v>
      </c>
      <c r="I19" s="11"/>
      <c r="J19" s="26">
        <f>I19+май!J21</f>
        <v>0</v>
      </c>
      <c r="K19" s="11"/>
      <c r="L19" s="25">
        <f>K19+май!L21</f>
        <v>0</v>
      </c>
    </row>
    <row r="20" spans="1:12">
      <c r="A20" s="1">
        <f t="shared" si="1"/>
        <v>18</v>
      </c>
      <c r="B20" s="8"/>
      <c r="C20" s="10"/>
      <c r="D20" s="25">
        <f>C20+май!D22</f>
        <v>0</v>
      </c>
      <c r="E20" s="11"/>
      <c r="F20" s="25">
        <f>E20+май!F22</f>
        <v>0</v>
      </c>
      <c r="G20" s="25">
        <f t="shared" si="0"/>
        <v>0</v>
      </c>
      <c r="H20" s="26">
        <f t="shared" si="0"/>
        <v>0</v>
      </c>
      <c r="I20" s="11"/>
      <c r="J20" s="26">
        <f>I20+май!J22</f>
        <v>0</v>
      </c>
      <c r="K20" s="10"/>
      <c r="L20" s="25">
        <f>K20+май!L22</f>
        <v>0</v>
      </c>
    </row>
    <row r="21" spans="1:12">
      <c r="A21" s="1">
        <f t="shared" si="1"/>
        <v>19</v>
      </c>
      <c r="B21" s="8"/>
      <c r="C21" s="10"/>
      <c r="D21" s="25">
        <f>C21+май!D23</f>
        <v>0</v>
      </c>
      <c r="E21" s="11"/>
      <c r="F21" s="25">
        <f>E21+май!F23</f>
        <v>0</v>
      </c>
      <c r="G21" s="25">
        <f t="shared" si="0"/>
        <v>0</v>
      </c>
      <c r="H21" s="26">
        <f t="shared" si="0"/>
        <v>0</v>
      </c>
      <c r="I21" s="11"/>
      <c r="J21" s="26">
        <f>I21+май!J23</f>
        <v>0</v>
      </c>
      <c r="K21" s="10"/>
      <c r="L21" s="25">
        <f>K21+май!L23</f>
        <v>0</v>
      </c>
    </row>
    <row r="22" spans="1:12">
      <c r="A22" s="1">
        <f t="shared" si="1"/>
        <v>20</v>
      </c>
      <c r="B22" s="8"/>
      <c r="C22" s="10"/>
      <c r="D22" s="25">
        <f>C22+май!D24</f>
        <v>0</v>
      </c>
      <c r="E22" s="11"/>
      <c r="F22" s="25">
        <f>E22+май!F24</f>
        <v>0</v>
      </c>
      <c r="G22" s="25">
        <f t="shared" si="0"/>
        <v>0</v>
      </c>
      <c r="H22" s="26">
        <f t="shared" si="0"/>
        <v>0</v>
      </c>
      <c r="I22" s="11"/>
      <c r="J22" s="26">
        <f>I22+май!J24</f>
        <v>0</v>
      </c>
      <c r="K22" s="10"/>
      <c r="L22" s="25">
        <f>K22+май!L24</f>
        <v>0</v>
      </c>
    </row>
    <row r="23" spans="1:12">
      <c r="A23" s="1"/>
      <c r="B23" s="27" t="s">
        <v>13</v>
      </c>
      <c r="C23" s="25">
        <f t="shared" ref="C23:L23" si="2">SUM(C3:C22)</f>
        <v>40203.82</v>
      </c>
      <c r="D23" s="25">
        <f t="shared" si="2"/>
        <v>228748.02</v>
      </c>
      <c r="E23" s="26">
        <f t="shared" si="2"/>
        <v>25335.889999999996</v>
      </c>
      <c r="F23" s="25">
        <f t="shared" si="2"/>
        <v>167750.12</v>
      </c>
      <c r="G23" s="25">
        <f t="shared" si="2"/>
        <v>-14867.930000000002</v>
      </c>
      <c r="H23" s="26">
        <f t="shared" si="2"/>
        <v>-60997.900000000009</v>
      </c>
      <c r="I23" s="26">
        <f t="shared" si="2"/>
        <v>147988.50999999998</v>
      </c>
      <c r="J23" s="26">
        <f t="shared" si="2"/>
        <v>396787.86</v>
      </c>
      <c r="K23" s="25">
        <f t="shared" si="2"/>
        <v>146701.13999999998</v>
      </c>
      <c r="L23" s="25">
        <f t="shared" si="2"/>
        <v>229162.19999999998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K11" sqref="K11"/>
    </sheetView>
  </sheetViews>
  <sheetFormatPr defaultRowHeight="12.75"/>
  <cols>
    <col min="1" max="1" width="3.5703125" customWidth="1"/>
    <col min="2" max="2" width="20.140625" customWidth="1"/>
    <col min="3" max="3" width="9.28515625" bestFit="1" customWidth="1"/>
    <col min="4" max="4" width="10.28515625" customWidth="1"/>
    <col min="5" max="5" width="9.28515625" bestFit="1" customWidth="1"/>
    <col min="6" max="6" width="10.28515625" customWidth="1"/>
    <col min="7" max="7" width="9.7109375" bestFit="1" customWidth="1"/>
    <col min="8" max="8" width="11.140625" customWidth="1"/>
    <col min="9" max="9" width="9.28515625" bestFit="1" customWidth="1"/>
    <col min="10" max="10" width="11.7109375" customWidth="1"/>
    <col min="11" max="11" width="10.7109375" customWidth="1"/>
    <col min="12" max="12" width="12.7109375" customWidth="1"/>
    <col min="13" max="13" width="10.7109375" bestFit="1" customWidth="1"/>
  </cols>
  <sheetData>
    <row r="1" spans="1:13">
      <c r="E1" s="15" t="s">
        <v>29</v>
      </c>
    </row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6706.59+1297.17</f>
        <v>8003.76</v>
      </c>
      <c r="D3" s="25">
        <f>C3+июнь!D3</f>
        <v>53702.430000000008</v>
      </c>
      <c r="E3" s="11">
        <f>3684.4+1071.63</f>
        <v>4756.0300000000007</v>
      </c>
      <c r="F3" s="25">
        <f>E3+июнь!F3</f>
        <v>38904.479999999996</v>
      </c>
      <c r="G3" s="25">
        <f>E3-C3</f>
        <v>-3247.7299999999996</v>
      </c>
      <c r="H3" s="26">
        <f>F3-D3</f>
        <v>-14797.950000000012</v>
      </c>
      <c r="I3" s="11"/>
      <c r="J3" s="26">
        <f>I3+июнь!J3</f>
        <v>0</v>
      </c>
      <c r="K3" s="10"/>
      <c r="L3" s="25">
        <f>K3+июнь!L3</f>
        <v>0</v>
      </c>
    </row>
    <row r="4" spans="1:13" ht="15.75">
      <c r="A4" s="1">
        <f>A3+1</f>
        <v>2</v>
      </c>
      <c r="B4" s="17" t="s">
        <v>15</v>
      </c>
      <c r="C4" s="10">
        <f>14470.03+2798.77</f>
        <v>17268.8</v>
      </c>
      <c r="D4" s="25">
        <f>C4+июнь!D4</f>
        <v>110286.67</v>
      </c>
      <c r="E4" s="11">
        <f>7795.62+2312.14</f>
        <v>10107.76</v>
      </c>
      <c r="F4" s="25">
        <f>E4+июнь!F4</f>
        <v>79563.799999999988</v>
      </c>
      <c r="G4" s="25">
        <f t="shared" ref="G4:H22" si="0">E4-C4</f>
        <v>-7161.0399999999991</v>
      </c>
      <c r="H4" s="26">
        <f t="shared" si="0"/>
        <v>-30722.87000000001</v>
      </c>
      <c r="I4" s="11"/>
      <c r="J4" s="26">
        <f>I4+июнь!J4</f>
        <v>352502.36</v>
      </c>
      <c r="K4" s="10"/>
      <c r="L4" s="25">
        <f>K4+июнь!L4</f>
        <v>199874.36</v>
      </c>
      <c r="M4" s="32">
        <f>L4-J4</f>
        <v>-152628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C5+июнь!D5</f>
        <v>0</v>
      </c>
      <c r="E5" s="11"/>
      <c r="F5" s="25">
        <f>E5+июнь!F5</f>
        <v>0</v>
      </c>
      <c r="G5" s="25">
        <f t="shared" si="0"/>
        <v>0</v>
      </c>
      <c r="H5" s="26">
        <f t="shared" si="0"/>
        <v>0</v>
      </c>
      <c r="I5" s="11"/>
      <c r="J5" s="26">
        <f>I5+июнь!J5</f>
        <v>0</v>
      </c>
      <c r="K5" s="10"/>
      <c r="L5" s="25">
        <f>K5+июнь!L5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C6+июнь!D6</f>
        <v>0</v>
      </c>
      <c r="E6" s="11"/>
      <c r="F6" s="25">
        <f>E6+июнь!F6</f>
        <v>0</v>
      </c>
      <c r="G6" s="25">
        <f t="shared" si="0"/>
        <v>0</v>
      </c>
      <c r="H6" s="26">
        <f t="shared" si="0"/>
        <v>0</v>
      </c>
      <c r="I6" s="11"/>
      <c r="J6" s="26">
        <f>I6+июнь!J6</f>
        <v>0</v>
      </c>
      <c r="K6" s="10"/>
      <c r="L6" s="25">
        <f>K6+июнь!L6</f>
        <v>0</v>
      </c>
    </row>
    <row r="7" spans="1:13" ht="15.75">
      <c r="A7" s="1">
        <f t="shared" si="1"/>
        <v>5</v>
      </c>
      <c r="B7" s="18" t="s">
        <v>18</v>
      </c>
      <c r="C7" s="10">
        <f>1022.65+197.8</f>
        <v>1220.45</v>
      </c>
      <c r="D7" s="25">
        <f>C7+июнь!D7</f>
        <v>8188.81</v>
      </c>
      <c r="E7" s="11">
        <f>561.81+163.41</f>
        <v>725.21999999999991</v>
      </c>
      <c r="F7" s="25">
        <f>E7+июнь!F7</f>
        <v>5935.95</v>
      </c>
      <c r="G7" s="25">
        <f t="shared" si="0"/>
        <v>-495.23000000000013</v>
      </c>
      <c r="H7" s="26">
        <f t="shared" si="0"/>
        <v>-2252.8600000000006</v>
      </c>
      <c r="I7" s="11"/>
      <c r="J7" s="26">
        <f>I7+июнь!J7</f>
        <v>0</v>
      </c>
      <c r="K7" s="10"/>
      <c r="L7" s="25">
        <f>K7+июнь!L7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C8+июнь!D8</f>
        <v>0</v>
      </c>
      <c r="E8" s="11"/>
      <c r="F8" s="25">
        <f>E8+июнь!F8</f>
        <v>0</v>
      </c>
      <c r="G8" s="25">
        <f t="shared" si="0"/>
        <v>0</v>
      </c>
      <c r="H8" s="26">
        <f t="shared" si="0"/>
        <v>0</v>
      </c>
      <c r="I8" s="11"/>
      <c r="J8" s="26">
        <f>I8+июнь!J8</f>
        <v>0</v>
      </c>
      <c r="K8" s="10"/>
      <c r="L8" s="25">
        <f>K8+июнь!L8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C9+июнь!D9</f>
        <v>0</v>
      </c>
      <c r="E9" s="11"/>
      <c r="F9" s="25">
        <f>E9+июнь!F9</f>
        <v>0</v>
      </c>
      <c r="G9" s="25">
        <f t="shared" si="0"/>
        <v>0</v>
      </c>
      <c r="H9" s="26">
        <f t="shared" si="0"/>
        <v>0</v>
      </c>
      <c r="I9" s="11"/>
      <c r="J9" s="26">
        <f>I9+июнь!J9</f>
        <v>0</v>
      </c>
      <c r="K9" s="10"/>
      <c r="L9" s="25">
        <f>K9+июнь!L9</f>
        <v>0</v>
      </c>
    </row>
    <row r="10" spans="1:13" ht="15.75">
      <c r="A10" s="1">
        <f t="shared" si="1"/>
        <v>8</v>
      </c>
      <c r="B10" s="17" t="s">
        <v>20</v>
      </c>
      <c r="C10" s="10">
        <f>4137.4+506.62</f>
        <v>4644.0199999999995</v>
      </c>
      <c r="D10" s="25">
        <f>C10+июнь!D10</f>
        <v>29268.230000000003</v>
      </c>
      <c r="E10" s="11">
        <f>2382.33+422.18</f>
        <v>2804.5099999999998</v>
      </c>
      <c r="F10" s="25">
        <f>E10+июнь!F10</f>
        <v>19632.41</v>
      </c>
      <c r="G10" s="25">
        <f t="shared" si="0"/>
        <v>-1839.5099999999998</v>
      </c>
      <c r="H10" s="26">
        <f t="shared" si="0"/>
        <v>-9635.8200000000033</v>
      </c>
      <c r="I10" s="11">
        <v>1409.88</v>
      </c>
      <c r="J10" s="26">
        <f>I10+июнь!J10</f>
        <v>23552.629999999997</v>
      </c>
      <c r="K10" s="10">
        <v>1409.88</v>
      </c>
      <c r="L10" s="25">
        <f>K10+июнь!L10</f>
        <v>22062.949999999997</v>
      </c>
    </row>
    <row r="11" spans="1:13" ht="15.75">
      <c r="A11" s="1">
        <f t="shared" si="1"/>
        <v>9</v>
      </c>
      <c r="B11" s="17" t="s">
        <v>21</v>
      </c>
      <c r="C11" s="10">
        <v>4644.0200000000004</v>
      </c>
      <c r="D11" s="25">
        <f>C11+июнь!D11</f>
        <v>29268.230000000003</v>
      </c>
      <c r="E11" s="11"/>
      <c r="F11" s="25">
        <f>E11+июнь!F11</f>
        <v>16827.900000000001</v>
      </c>
      <c r="G11" s="25">
        <f t="shared" si="0"/>
        <v>-4644.0200000000004</v>
      </c>
      <c r="H11" s="26">
        <f t="shared" si="0"/>
        <v>-12440.330000000002</v>
      </c>
      <c r="I11" s="11">
        <v>1409.88</v>
      </c>
      <c r="J11" s="26">
        <f>I11+июнь!J11</f>
        <v>23552.629999999997</v>
      </c>
      <c r="K11" s="10">
        <v>1409.88</v>
      </c>
      <c r="L11" s="25">
        <f>K11+июнь!L11</f>
        <v>10044.650000000001</v>
      </c>
    </row>
    <row r="12" spans="1:13" ht="15.75">
      <c r="A12" s="1">
        <f t="shared" si="1"/>
        <v>10</v>
      </c>
      <c r="B12" s="17" t="s">
        <v>22</v>
      </c>
      <c r="C12" s="10"/>
      <c r="D12" s="25">
        <f>C12+июнь!D12</f>
        <v>0</v>
      </c>
      <c r="E12" s="11"/>
      <c r="F12" s="25">
        <f>E12+июнь!F12</f>
        <v>0</v>
      </c>
      <c r="G12" s="25">
        <f t="shared" si="0"/>
        <v>0</v>
      </c>
      <c r="H12" s="26">
        <f t="shared" si="0"/>
        <v>0</v>
      </c>
      <c r="I12" s="11"/>
      <c r="J12" s="26">
        <f>I12+июнь!J12</f>
        <v>0</v>
      </c>
      <c r="K12" s="10"/>
      <c r="L12" s="25">
        <f>K12+июнь!L12</f>
        <v>0</v>
      </c>
    </row>
    <row r="13" spans="1:13" ht="15.75">
      <c r="A13" s="1">
        <f t="shared" si="1"/>
        <v>11</v>
      </c>
      <c r="B13" s="17" t="s">
        <v>23</v>
      </c>
      <c r="C13" s="10">
        <f>4027.13+778.91</f>
        <v>4806.04</v>
      </c>
      <c r="D13" s="25">
        <f>C13+июнь!D13</f>
        <v>32246.9</v>
      </c>
      <c r="E13" s="11">
        <f>2212.43+643.48</f>
        <v>2855.91</v>
      </c>
      <c r="F13" s="25">
        <f>E13+июнь!F13</f>
        <v>23368.889999999996</v>
      </c>
      <c r="G13" s="25">
        <f t="shared" si="0"/>
        <v>-1950.13</v>
      </c>
      <c r="H13" s="26">
        <f t="shared" si="0"/>
        <v>-8878.0100000000057</v>
      </c>
      <c r="I13" s="11"/>
      <c r="J13" s="26">
        <f>I13+июнь!J13</f>
        <v>0</v>
      </c>
      <c r="K13" s="10"/>
      <c r="L13" s="25">
        <f>K13+июнь!L13</f>
        <v>0</v>
      </c>
    </row>
    <row r="14" spans="1:13" ht="15.75">
      <c r="A14" s="1">
        <f t="shared" si="1"/>
        <v>12</v>
      </c>
      <c r="B14" s="17" t="s">
        <v>24</v>
      </c>
      <c r="C14" s="10">
        <f>935.4+180.93</f>
        <v>1116.33</v>
      </c>
      <c r="D14" s="25">
        <f>C14+июнь!D14</f>
        <v>7490.17</v>
      </c>
      <c r="E14" s="11">
        <f>513.89+149.47</f>
        <v>663.36</v>
      </c>
      <c r="F14" s="25">
        <f>E14+июнь!F14</f>
        <v>5429.48</v>
      </c>
      <c r="G14" s="25">
        <f t="shared" si="0"/>
        <v>-452.96999999999991</v>
      </c>
      <c r="H14" s="26">
        <f t="shared" si="0"/>
        <v>-2060.6900000000005</v>
      </c>
      <c r="I14" s="11"/>
      <c r="J14" s="26">
        <f>I14+июнь!J14</f>
        <v>0</v>
      </c>
      <c r="K14" s="10"/>
      <c r="L14" s="25">
        <f>K14+июнь!L14</f>
        <v>0</v>
      </c>
    </row>
    <row r="15" spans="1:13" ht="15.75">
      <c r="A15" s="1">
        <f t="shared" si="1"/>
        <v>13</v>
      </c>
      <c r="B15" s="17" t="s">
        <v>25</v>
      </c>
      <c r="C15" s="10"/>
      <c r="D15" s="25">
        <f>C15+июнь!D15</f>
        <v>0</v>
      </c>
      <c r="E15" s="11"/>
      <c r="F15" s="25">
        <f>E15+июнь!F15</f>
        <v>0</v>
      </c>
      <c r="G15" s="25">
        <f t="shared" si="0"/>
        <v>0</v>
      </c>
      <c r="H15" s="26">
        <f t="shared" si="0"/>
        <v>0</v>
      </c>
      <c r="I15" s="11"/>
      <c r="J15" s="26">
        <f>I15+июнь!J15</f>
        <v>0</v>
      </c>
      <c r="K15" s="10"/>
      <c r="L15" s="25">
        <f>K15+июнь!L15</f>
        <v>0</v>
      </c>
    </row>
    <row r="16" spans="1:13" ht="15.75">
      <c r="A16" s="1">
        <f t="shared" si="1"/>
        <v>14</v>
      </c>
      <c r="B16" s="17" t="s">
        <v>26</v>
      </c>
      <c r="C16" s="10"/>
      <c r="D16" s="25">
        <f>C16+июнь!D16</f>
        <v>0</v>
      </c>
      <c r="E16" s="11"/>
      <c r="F16" s="25">
        <f>E16+июнь!F16</f>
        <v>0</v>
      </c>
      <c r="G16" s="25">
        <f t="shared" si="0"/>
        <v>0</v>
      </c>
      <c r="H16" s="26">
        <f t="shared" si="0"/>
        <v>0</v>
      </c>
      <c r="I16" s="11"/>
      <c r="J16" s="26">
        <f>I16+июнь!J16</f>
        <v>0</v>
      </c>
      <c r="K16" s="10"/>
      <c r="L16" s="25">
        <f>K16+июнь!L16</f>
        <v>0</v>
      </c>
    </row>
    <row r="17" spans="1:12" ht="15.75">
      <c r="A17" s="1">
        <f t="shared" si="1"/>
        <v>15</v>
      </c>
      <c r="B17" s="17" t="s">
        <v>27</v>
      </c>
      <c r="C17" s="10"/>
      <c r="D17" s="25">
        <f>C17+июнь!D17</f>
        <v>0</v>
      </c>
      <c r="E17" s="11"/>
      <c r="F17" s="25">
        <f>E17+июнь!F17</f>
        <v>0</v>
      </c>
      <c r="G17" s="25">
        <f t="shared" si="0"/>
        <v>0</v>
      </c>
      <c r="H17" s="26">
        <f t="shared" si="0"/>
        <v>0</v>
      </c>
      <c r="I17" s="11"/>
      <c r="J17" s="26">
        <f>I17+июнь!J17</f>
        <v>0</v>
      </c>
      <c r="K17" s="10"/>
      <c r="L17" s="25">
        <f>K17+июнь!L17</f>
        <v>0</v>
      </c>
    </row>
    <row r="18" spans="1:12">
      <c r="A18" s="1">
        <f t="shared" si="1"/>
        <v>16</v>
      </c>
      <c r="B18" s="8" t="s">
        <v>32</v>
      </c>
      <c r="C18" s="10"/>
      <c r="D18" s="25">
        <f>C18+июнь!D18</f>
        <v>0</v>
      </c>
      <c r="E18" s="11"/>
      <c r="F18" s="25">
        <f>E18+июнь!F18</f>
        <v>0</v>
      </c>
      <c r="G18" s="25">
        <f t="shared" si="0"/>
        <v>0</v>
      </c>
      <c r="H18" s="26">
        <f t="shared" si="0"/>
        <v>0</v>
      </c>
      <c r="I18" s="11"/>
      <c r="J18" s="26">
        <f>I18+июнь!J18</f>
        <v>0</v>
      </c>
      <c r="K18" s="10"/>
      <c r="L18" s="25">
        <f>K18+июнь!L18</f>
        <v>0</v>
      </c>
    </row>
    <row r="19" spans="1:12">
      <c r="A19" s="1">
        <f t="shared" si="1"/>
        <v>17</v>
      </c>
      <c r="B19" s="8" t="s">
        <v>31</v>
      </c>
      <c r="C19" s="10"/>
      <c r="D19" s="25">
        <f>C19+июнь!D19</f>
        <v>0</v>
      </c>
      <c r="E19" s="11"/>
      <c r="F19" s="25">
        <f>E19+июнь!F19</f>
        <v>0</v>
      </c>
      <c r="G19" s="25">
        <f t="shared" si="0"/>
        <v>0</v>
      </c>
      <c r="H19" s="26">
        <f t="shared" si="0"/>
        <v>0</v>
      </c>
      <c r="I19" s="11"/>
      <c r="J19" s="26">
        <f>I19+июнь!J19</f>
        <v>0</v>
      </c>
      <c r="K19" s="11"/>
      <c r="L19" s="25">
        <f>K19+июнь!L19</f>
        <v>0</v>
      </c>
    </row>
    <row r="20" spans="1:12">
      <c r="A20" s="1">
        <f t="shared" si="1"/>
        <v>18</v>
      </c>
      <c r="B20" s="8"/>
      <c r="C20" s="10"/>
      <c r="D20" s="25">
        <f>C20+июнь!D20</f>
        <v>0</v>
      </c>
      <c r="E20" s="11"/>
      <c r="F20" s="25">
        <f>E20+июнь!F20</f>
        <v>0</v>
      </c>
      <c r="G20" s="25">
        <f t="shared" si="0"/>
        <v>0</v>
      </c>
      <c r="H20" s="26">
        <f t="shared" si="0"/>
        <v>0</v>
      </c>
      <c r="I20" s="11"/>
      <c r="J20" s="26">
        <f>I20+июнь!J20</f>
        <v>0</v>
      </c>
      <c r="K20" s="10"/>
      <c r="L20" s="25">
        <f>K20+июнь!L20</f>
        <v>0</v>
      </c>
    </row>
    <row r="21" spans="1:12">
      <c r="A21" s="1">
        <f t="shared" si="1"/>
        <v>19</v>
      </c>
      <c r="B21" s="8"/>
      <c r="C21" s="10"/>
      <c r="D21" s="25">
        <f>C21+июнь!D21</f>
        <v>0</v>
      </c>
      <c r="E21" s="11"/>
      <c r="F21" s="25">
        <f>E21+июнь!F21</f>
        <v>0</v>
      </c>
      <c r="G21" s="25">
        <f t="shared" si="0"/>
        <v>0</v>
      </c>
      <c r="H21" s="26">
        <f t="shared" si="0"/>
        <v>0</v>
      </c>
      <c r="I21" s="11"/>
      <c r="J21" s="26">
        <f>I21+июнь!J21</f>
        <v>0</v>
      </c>
      <c r="K21" s="10"/>
      <c r="L21" s="25">
        <f>K21+июнь!L21</f>
        <v>0</v>
      </c>
    </row>
    <row r="22" spans="1:12">
      <c r="A22" s="1">
        <f t="shared" si="1"/>
        <v>20</v>
      </c>
      <c r="B22" s="8"/>
      <c r="C22" s="10"/>
      <c r="D22" s="25">
        <f>C22+июнь!D22</f>
        <v>0</v>
      </c>
      <c r="E22" s="11"/>
      <c r="F22" s="25">
        <f>E22+июнь!F22</f>
        <v>0</v>
      </c>
      <c r="G22" s="25">
        <f t="shared" si="0"/>
        <v>0</v>
      </c>
      <c r="H22" s="26">
        <f t="shared" si="0"/>
        <v>0</v>
      </c>
      <c r="I22" s="11"/>
      <c r="J22" s="26">
        <f>I22+июнь!J22</f>
        <v>0</v>
      </c>
      <c r="K22" s="10"/>
      <c r="L22" s="25">
        <f>K22+июнь!L22</f>
        <v>0</v>
      </c>
    </row>
    <row r="23" spans="1:12">
      <c r="A23" s="30"/>
      <c r="B23" s="27" t="s">
        <v>13</v>
      </c>
      <c r="C23" s="25">
        <f t="shared" ref="C23:L23" si="2">SUM(C3:C22)</f>
        <v>41703.420000000006</v>
      </c>
      <c r="D23" s="25">
        <f t="shared" si="2"/>
        <v>270451.44</v>
      </c>
      <c r="E23" s="26">
        <f t="shared" si="2"/>
        <v>21912.79</v>
      </c>
      <c r="F23" s="25">
        <f t="shared" si="2"/>
        <v>189662.90999999997</v>
      </c>
      <c r="G23" s="25">
        <f t="shared" si="2"/>
        <v>-19790.63</v>
      </c>
      <c r="H23" s="26">
        <f t="shared" si="2"/>
        <v>-80788.530000000042</v>
      </c>
      <c r="I23" s="26">
        <f t="shared" si="2"/>
        <v>2819.76</v>
      </c>
      <c r="J23" s="26">
        <f t="shared" si="2"/>
        <v>399607.62</v>
      </c>
      <c r="K23" s="25">
        <f t="shared" si="2"/>
        <v>2819.76</v>
      </c>
      <c r="L23" s="25">
        <f t="shared" si="2"/>
        <v>231981.96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I11" sqref="I11"/>
    </sheetView>
  </sheetViews>
  <sheetFormatPr defaultRowHeight="12.75"/>
  <cols>
    <col min="1" max="1" width="4.42578125" customWidth="1"/>
    <col min="2" max="2" width="19" customWidth="1"/>
    <col min="3" max="3" width="9.28515625" bestFit="1" customWidth="1"/>
    <col min="4" max="4" width="10.28515625" customWidth="1"/>
    <col min="5" max="5" width="9.28515625" bestFit="1" customWidth="1"/>
    <col min="6" max="6" width="10.7109375" customWidth="1"/>
    <col min="7" max="7" width="9.7109375" bestFit="1" customWidth="1"/>
    <col min="8" max="8" width="11.42578125" customWidth="1"/>
    <col min="9" max="9" width="9.28515625" bestFit="1" customWidth="1"/>
    <col min="10" max="10" width="11.28515625" customWidth="1"/>
    <col min="11" max="11" width="10.140625" bestFit="1" customWidth="1"/>
    <col min="12" max="12" width="11.42578125" customWidth="1"/>
    <col min="13" max="13" width="10.7109375" bestFit="1" customWidth="1"/>
  </cols>
  <sheetData>
    <row r="1" spans="1:13">
      <c r="E1" s="15" t="s">
        <v>29</v>
      </c>
    </row>
    <row r="2" spans="1:13">
      <c r="A2" s="1" t="s">
        <v>0</v>
      </c>
      <c r="B2" s="6" t="s">
        <v>1</v>
      </c>
      <c r="C2" s="5" t="s">
        <v>2</v>
      </c>
      <c r="D2" s="28" t="s">
        <v>3</v>
      </c>
      <c r="E2" s="7" t="s">
        <v>4</v>
      </c>
      <c r="F2" s="28" t="s">
        <v>5</v>
      </c>
      <c r="G2" s="28" t="s">
        <v>6</v>
      </c>
      <c r="H2" s="29" t="s">
        <v>7</v>
      </c>
      <c r="I2" s="7" t="s">
        <v>8</v>
      </c>
      <c r="J2" s="29" t="s">
        <v>9</v>
      </c>
      <c r="K2" s="6" t="s">
        <v>10</v>
      </c>
      <c r="L2" s="28" t="s">
        <v>11</v>
      </c>
    </row>
    <row r="3" spans="1:13" ht="15.75">
      <c r="A3" s="1">
        <v>1</v>
      </c>
      <c r="B3" s="17" t="s">
        <v>14</v>
      </c>
      <c r="C3" s="10">
        <f>1297.17+6706.59</f>
        <v>8003.76</v>
      </c>
      <c r="D3" s="25">
        <f>C3+июль!D3</f>
        <v>61706.19000000001</v>
      </c>
      <c r="E3" s="11">
        <f>1071.63+3684.4</f>
        <v>4756.0300000000007</v>
      </c>
      <c r="F3" s="25">
        <f>E3+июль!F3</f>
        <v>43660.509999999995</v>
      </c>
      <c r="G3" s="25">
        <f>E3-C3</f>
        <v>-3247.7299999999996</v>
      </c>
      <c r="H3" s="26">
        <f>F3-D3</f>
        <v>-18045.680000000015</v>
      </c>
      <c r="I3" s="11"/>
      <c r="J3" s="26">
        <f>I3+июль!J3</f>
        <v>0</v>
      </c>
      <c r="K3" s="10"/>
      <c r="L3" s="25">
        <f>K3+июль!L3</f>
        <v>0</v>
      </c>
    </row>
    <row r="4" spans="1:13" ht="15.75">
      <c r="A4" s="1">
        <f>A3+1</f>
        <v>2</v>
      </c>
      <c r="B4" s="17" t="s">
        <v>15</v>
      </c>
      <c r="C4" s="10">
        <f>2798.77+14470.03</f>
        <v>17268.8</v>
      </c>
      <c r="D4" s="25">
        <f>C4+июль!D4</f>
        <v>127555.47</v>
      </c>
      <c r="E4" s="11">
        <f>2312.14+7795.62</f>
        <v>10107.76</v>
      </c>
      <c r="F4" s="25">
        <f>E4+июль!F4</f>
        <v>89671.559999999983</v>
      </c>
      <c r="G4" s="25">
        <f t="shared" ref="G4:H22" si="0">E4-C4</f>
        <v>-7161.0399999999991</v>
      </c>
      <c r="H4" s="26">
        <f t="shared" si="0"/>
        <v>-37883.910000000018</v>
      </c>
      <c r="I4" s="11"/>
      <c r="J4" s="26">
        <f>I4+июль!J4</f>
        <v>352502.36</v>
      </c>
      <c r="K4" s="10">
        <v>145413.76999999999</v>
      </c>
      <c r="L4" s="25">
        <f>K4+июль!L4</f>
        <v>345288.13</v>
      </c>
      <c r="M4" s="32">
        <f>L4-J4</f>
        <v>-7214.2299999999814</v>
      </c>
    </row>
    <row r="5" spans="1:13" ht="15.75">
      <c r="A5" s="1">
        <f t="shared" ref="A5:A22" si="1">A4+1</f>
        <v>3</v>
      </c>
      <c r="B5" s="17" t="s">
        <v>16</v>
      </c>
      <c r="C5" s="10"/>
      <c r="D5" s="25">
        <f>C5+июль!D5</f>
        <v>0</v>
      </c>
      <c r="E5" s="11"/>
      <c r="F5" s="25">
        <f>E5+июль!F5</f>
        <v>0</v>
      </c>
      <c r="G5" s="25">
        <f t="shared" si="0"/>
        <v>0</v>
      </c>
      <c r="H5" s="26">
        <f t="shared" si="0"/>
        <v>0</v>
      </c>
      <c r="I5" s="11"/>
      <c r="J5" s="26">
        <f>I5+июль!J5</f>
        <v>0</v>
      </c>
      <c r="K5" s="10"/>
      <c r="L5" s="25">
        <f>K5+июль!L5</f>
        <v>0</v>
      </c>
    </row>
    <row r="6" spans="1:13" ht="15.75">
      <c r="A6" s="1">
        <f t="shared" si="1"/>
        <v>4</v>
      </c>
      <c r="B6" s="17" t="s">
        <v>17</v>
      </c>
      <c r="C6" s="10"/>
      <c r="D6" s="25">
        <f>C6+июль!D6</f>
        <v>0</v>
      </c>
      <c r="E6" s="11"/>
      <c r="F6" s="25">
        <f>E6+июль!F6</f>
        <v>0</v>
      </c>
      <c r="G6" s="25">
        <f t="shared" si="0"/>
        <v>0</v>
      </c>
      <c r="H6" s="26">
        <f t="shared" si="0"/>
        <v>0</v>
      </c>
      <c r="I6" s="11"/>
      <c r="J6" s="26">
        <f>I6+июль!J6</f>
        <v>0</v>
      </c>
      <c r="K6" s="10"/>
      <c r="L6" s="25">
        <f>K6+июль!L6</f>
        <v>0</v>
      </c>
    </row>
    <row r="7" spans="1:13" ht="15.75">
      <c r="A7" s="1">
        <f t="shared" si="1"/>
        <v>5</v>
      </c>
      <c r="B7" s="18" t="s">
        <v>18</v>
      </c>
      <c r="C7" s="10">
        <f>197.8+1022.65</f>
        <v>1220.45</v>
      </c>
      <c r="D7" s="25">
        <f>C7+июль!D7</f>
        <v>9409.26</v>
      </c>
      <c r="E7" s="11">
        <f>163.41+561.81</f>
        <v>725.21999999999991</v>
      </c>
      <c r="F7" s="25">
        <f>E7+июль!F7</f>
        <v>6661.17</v>
      </c>
      <c r="G7" s="25">
        <f t="shared" si="0"/>
        <v>-495.23000000000013</v>
      </c>
      <c r="H7" s="26">
        <f t="shared" si="0"/>
        <v>-2748.09</v>
      </c>
      <c r="I7" s="11"/>
      <c r="J7" s="26">
        <f>I7+июль!J7</f>
        <v>0</v>
      </c>
      <c r="K7" s="10"/>
      <c r="L7" s="25">
        <f>K7+июль!L7</f>
        <v>0</v>
      </c>
    </row>
    <row r="8" spans="1:13" ht="15.75">
      <c r="A8" s="1">
        <f t="shared" si="1"/>
        <v>6</v>
      </c>
      <c r="B8" s="17" t="s">
        <v>28</v>
      </c>
      <c r="C8" s="10"/>
      <c r="D8" s="25">
        <f>C8+июль!D8</f>
        <v>0</v>
      </c>
      <c r="E8" s="11"/>
      <c r="F8" s="25">
        <f>E8+июль!F8</f>
        <v>0</v>
      </c>
      <c r="G8" s="25">
        <f t="shared" si="0"/>
        <v>0</v>
      </c>
      <c r="H8" s="26">
        <f t="shared" si="0"/>
        <v>0</v>
      </c>
      <c r="I8" s="11"/>
      <c r="J8" s="26">
        <f>I8+июль!J8</f>
        <v>0</v>
      </c>
      <c r="K8" s="10"/>
      <c r="L8" s="25">
        <f>K8+июль!L8</f>
        <v>0</v>
      </c>
    </row>
    <row r="9" spans="1:13" ht="15.75">
      <c r="A9" s="1">
        <f t="shared" si="1"/>
        <v>7</v>
      </c>
      <c r="B9" s="17" t="s">
        <v>19</v>
      </c>
      <c r="C9" s="10"/>
      <c r="D9" s="25">
        <f>C9+июль!D9</f>
        <v>0</v>
      </c>
      <c r="E9" s="11"/>
      <c r="F9" s="25">
        <f>E9+июль!F9</f>
        <v>0</v>
      </c>
      <c r="G9" s="25">
        <f t="shared" si="0"/>
        <v>0</v>
      </c>
      <c r="H9" s="26">
        <f t="shared" si="0"/>
        <v>0</v>
      </c>
      <c r="I9" s="11"/>
      <c r="J9" s="26">
        <f>I9+июль!J9</f>
        <v>0</v>
      </c>
      <c r="K9" s="10"/>
      <c r="L9" s="25">
        <f>K9+июль!L9</f>
        <v>0</v>
      </c>
    </row>
    <row r="10" spans="1:13" ht="15.75">
      <c r="A10" s="1">
        <f t="shared" si="1"/>
        <v>8</v>
      </c>
      <c r="B10" s="17" t="s">
        <v>20</v>
      </c>
      <c r="C10" s="10">
        <f>506.62+4137.4</f>
        <v>4644.0199999999995</v>
      </c>
      <c r="D10" s="25">
        <f>C10+июль!D10</f>
        <v>33912.25</v>
      </c>
      <c r="E10" s="11">
        <f>422.18+2382.33</f>
        <v>2804.5099999999998</v>
      </c>
      <c r="F10" s="25">
        <f>E10+июль!F10</f>
        <v>22436.92</v>
      </c>
      <c r="G10" s="25">
        <f t="shared" si="0"/>
        <v>-1839.5099999999998</v>
      </c>
      <c r="H10" s="26">
        <f t="shared" si="0"/>
        <v>-11475.330000000002</v>
      </c>
      <c r="I10" s="11">
        <v>1409.88</v>
      </c>
      <c r="J10" s="26">
        <f>I10+июль!J10</f>
        <v>24962.51</v>
      </c>
      <c r="K10" s="10">
        <v>1409.88</v>
      </c>
      <c r="L10" s="25">
        <f>K10+июль!L10</f>
        <v>23472.829999999998</v>
      </c>
    </row>
    <row r="11" spans="1:13" ht="15.75">
      <c r="A11" s="1">
        <f t="shared" si="1"/>
        <v>9</v>
      </c>
      <c r="B11" s="17" t="s">
        <v>21</v>
      </c>
      <c r="C11" s="10">
        <v>4644.0200000000004</v>
      </c>
      <c r="D11" s="25">
        <f>C11+июль!D11</f>
        <v>33912.25</v>
      </c>
      <c r="E11" s="11">
        <v>2804.51</v>
      </c>
      <c r="F11" s="25">
        <f>E11+июль!F11</f>
        <v>19632.410000000003</v>
      </c>
      <c r="G11" s="25">
        <f t="shared" si="0"/>
        <v>-1839.5100000000002</v>
      </c>
      <c r="H11" s="26">
        <f t="shared" si="0"/>
        <v>-14279.839999999997</v>
      </c>
      <c r="I11" s="11">
        <v>1409.88</v>
      </c>
      <c r="J11" s="26">
        <f>I11+июль!J11</f>
        <v>24962.51</v>
      </c>
      <c r="K11" s="10">
        <v>1409.88</v>
      </c>
      <c r="L11" s="25">
        <f>K11+июль!L11</f>
        <v>11454.530000000002</v>
      </c>
    </row>
    <row r="12" spans="1:13" ht="15.75">
      <c r="A12" s="1">
        <f t="shared" si="1"/>
        <v>10</v>
      </c>
      <c r="B12" s="17" t="s">
        <v>22</v>
      </c>
      <c r="C12" s="10"/>
      <c r="D12" s="25">
        <f>C12+июль!D12</f>
        <v>0</v>
      </c>
      <c r="E12" s="11"/>
      <c r="F12" s="25">
        <f>E12+июль!F12</f>
        <v>0</v>
      </c>
      <c r="G12" s="25">
        <f t="shared" si="0"/>
        <v>0</v>
      </c>
      <c r="H12" s="26">
        <f t="shared" si="0"/>
        <v>0</v>
      </c>
      <c r="I12" s="11"/>
      <c r="J12" s="26">
        <f>I12+июль!J12</f>
        <v>0</v>
      </c>
      <c r="K12" s="10"/>
      <c r="L12" s="25">
        <f>K12+июль!L12</f>
        <v>0</v>
      </c>
    </row>
    <row r="13" spans="1:13" ht="15.75">
      <c r="A13" s="1">
        <f t="shared" si="1"/>
        <v>11</v>
      </c>
      <c r="B13" s="17" t="s">
        <v>23</v>
      </c>
      <c r="C13" s="10">
        <f>778.91+4027.13</f>
        <v>4806.04</v>
      </c>
      <c r="D13" s="25">
        <f>C13+июль!D13</f>
        <v>37052.94</v>
      </c>
      <c r="E13" s="11">
        <f>643.48+2212.43</f>
        <v>2855.91</v>
      </c>
      <c r="F13" s="25">
        <f>E13+июль!F13</f>
        <v>26224.799999999996</v>
      </c>
      <c r="G13" s="25">
        <f t="shared" si="0"/>
        <v>-1950.13</v>
      </c>
      <c r="H13" s="26">
        <f t="shared" si="0"/>
        <v>-10828.140000000007</v>
      </c>
      <c r="I13" s="11"/>
      <c r="J13" s="26">
        <f>I13+июль!J13</f>
        <v>0</v>
      </c>
      <c r="K13" s="10"/>
      <c r="L13" s="25">
        <f>K13+июль!L13</f>
        <v>0</v>
      </c>
    </row>
    <row r="14" spans="1:13" ht="15.75">
      <c r="A14" s="1">
        <f t="shared" si="1"/>
        <v>12</v>
      </c>
      <c r="B14" s="17" t="s">
        <v>24</v>
      </c>
      <c r="C14" s="10">
        <f>180.93+935.4</f>
        <v>1116.33</v>
      </c>
      <c r="D14" s="25">
        <f>C14+июль!D14</f>
        <v>8606.5</v>
      </c>
      <c r="E14" s="11">
        <f>149.47+513.89</f>
        <v>663.36</v>
      </c>
      <c r="F14" s="25">
        <f>E14+июль!F14</f>
        <v>6092.8399999999992</v>
      </c>
      <c r="G14" s="25">
        <f t="shared" si="0"/>
        <v>-452.96999999999991</v>
      </c>
      <c r="H14" s="26">
        <f t="shared" si="0"/>
        <v>-2513.6600000000008</v>
      </c>
      <c r="I14" s="11"/>
      <c r="J14" s="26">
        <f>I14+июль!J14</f>
        <v>0</v>
      </c>
      <c r="K14" s="10"/>
      <c r="L14" s="25">
        <f>K14+июль!L14</f>
        <v>0</v>
      </c>
    </row>
    <row r="15" spans="1:13" ht="15.75">
      <c r="A15" s="1">
        <f t="shared" si="1"/>
        <v>13</v>
      </c>
      <c r="B15" s="17" t="s">
        <v>25</v>
      </c>
      <c r="C15" s="10"/>
      <c r="D15" s="25">
        <f>C15+июль!D15</f>
        <v>0</v>
      </c>
      <c r="E15" s="11"/>
      <c r="F15" s="25">
        <f>E15+июль!F15</f>
        <v>0</v>
      </c>
      <c r="G15" s="25">
        <f t="shared" si="0"/>
        <v>0</v>
      </c>
      <c r="H15" s="26">
        <f t="shared" si="0"/>
        <v>0</v>
      </c>
      <c r="I15" s="11"/>
      <c r="J15" s="26">
        <f>I15+июль!J15</f>
        <v>0</v>
      </c>
      <c r="K15" s="10"/>
      <c r="L15" s="25">
        <f>K15+июль!L15</f>
        <v>0</v>
      </c>
    </row>
    <row r="16" spans="1:13" ht="15.75">
      <c r="A16" s="1">
        <f t="shared" si="1"/>
        <v>14</v>
      </c>
      <c r="B16" s="17" t="s">
        <v>26</v>
      </c>
      <c r="C16" s="10"/>
      <c r="D16" s="25">
        <f>C16+июль!D16</f>
        <v>0</v>
      </c>
      <c r="E16" s="11"/>
      <c r="F16" s="25">
        <f>E16+июль!F16</f>
        <v>0</v>
      </c>
      <c r="G16" s="25">
        <f t="shared" si="0"/>
        <v>0</v>
      </c>
      <c r="H16" s="26">
        <f t="shared" si="0"/>
        <v>0</v>
      </c>
      <c r="I16" s="11"/>
      <c r="J16" s="26">
        <f>I16+июль!J16</f>
        <v>0</v>
      </c>
      <c r="K16" s="10"/>
      <c r="L16" s="25">
        <f>K16+июль!L16</f>
        <v>0</v>
      </c>
    </row>
    <row r="17" spans="1:12" ht="15.75">
      <c r="A17" s="1">
        <f t="shared" si="1"/>
        <v>15</v>
      </c>
      <c r="B17" s="17" t="s">
        <v>27</v>
      </c>
      <c r="C17" s="10"/>
      <c r="D17" s="25">
        <f>C17+июль!D17</f>
        <v>0</v>
      </c>
      <c r="E17" s="11"/>
      <c r="F17" s="25">
        <f>E17+июль!F17</f>
        <v>0</v>
      </c>
      <c r="G17" s="25">
        <f t="shared" si="0"/>
        <v>0</v>
      </c>
      <c r="H17" s="26">
        <f t="shared" si="0"/>
        <v>0</v>
      </c>
      <c r="I17" s="11"/>
      <c r="J17" s="26">
        <f>I17+июль!J17</f>
        <v>0</v>
      </c>
      <c r="K17" s="10"/>
      <c r="L17" s="25">
        <f>K17+июль!L17</f>
        <v>0</v>
      </c>
    </row>
    <row r="18" spans="1:12">
      <c r="A18" s="1">
        <f t="shared" si="1"/>
        <v>16</v>
      </c>
      <c r="B18" s="8" t="s">
        <v>32</v>
      </c>
      <c r="C18" s="10"/>
      <c r="D18" s="25">
        <f>C18+июль!D18</f>
        <v>0</v>
      </c>
      <c r="E18" s="11"/>
      <c r="F18" s="25">
        <f>E18+июль!F18</f>
        <v>0</v>
      </c>
      <c r="G18" s="25">
        <f t="shared" si="0"/>
        <v>0</v>
      </c>
      <c r="H18" s="26">
        <f t="shared" si="0"/>
        <v>0</v>
      </c>
      <c r="I18" s="11"/>
      <c r="J18" s="26">
        <f>I18+июль!J18</f>
        <v>0</v>
      </c>
      <c r="K18" s="10"/>
      <c r="L18" s="25">
        <f>K18+июль!L18</f>
        <v>0</v>
      </c>
    </row>
    <row r="19" spans="1:12">
      <c r="A19" s="1">
        <f t="shared" si="1"/>
        <v>17</v>
      </c>
      <c r="B19" s="8" t="s">
        <v>31</v>
      </c>
      <c r="C19" s="10"/>
      <c r="D19" s="25">
        <f>C19+июль!D19</f>
        <v>0</v>
      </c>
      <c r="E19" s="11"/>
      <c r="F19" s="25">
        <f>E19+июль!F19</f>
        <v>0</v>
      </c>
      <c r="G19" s="25">
        <f t="shared" si="0"/>
        <v>0</v>
      </c>
      <c r="H19" s="26">
        <f t="shared" si="0"/>
        <v>0</v>
      </c>
      <c r="I19" s="11"/>
      <c r="J19" s="26">
        <f>I19+июль!J19</f>
        <v>0</v>
      </c>
      <c r="K19" s="10"/>
      <c r="L19" s="25">
        <f>K19+июль!L19</f>
        <v>0</v>
      </c>
    </row>
    <row r="20" spans="1:12">
      <c r="A20" s="1">
        <f t="shared" si="1"/>
        <v>18</v>
      </c>
      <c r="B20" s="8"/>
      <c r="C20" s="10"/>
      <c r="D20" s="25">
        <f>C20+июль!D20</f>
        <v>0</v>
      </c>
      <c r="E20" s="11"/>
      <c r="F20" s="25">
        <f>E20+июль!F20</f>
        <v>0</v>
      </c>
      <c r="G20" s="25">
        <f t="shared" si="0"/>
        <v>0</v>
      </c>
      <c r="H20" s="26">
        <f t="shared" si="0"/>
        <v>0</v>
      </c>
      <c r="I20" s="11"/>
      <c r="J20" s="26">
        <f>I20+июль!J20</f>
        <v>0</v>
      </c>
      <c r="K20" s="10"/>
      <c r="L20" s="25">
        <f>K20+июль!L20</f>
        <v>0</v>
      </c>
    </row>
    <row r="21" spans="1:12">
      <c r="A21" s="1">
        <f t="shared" si="1"/>
        <v>19</v>
      </c>
      <c r="B21" s="8"/>
      <c r="C21" s="10"/>
      <c r="D21" s="25">
        <f>C21+июль!D21</f>
        <v>0</v>
      </c>
      <c r="E21" s="11"/>
      <c r="F21" s="25">
        <f>E21+июль!F21</f>
        <v>0</v>
      </c>
      <c r="G21" s="25">
        <f t="shared" si="0"/>
        <v>0</v>
      </c>
      <c r="H21" s="26">
        <f t="shared" si="0"/>
        <v>0</v>
      </c>
      <c r="I21" s="11"/>
      <c r="J21" s="26">
        <f>I21+июль!J21</f>
        <v>0</v>
      </c>
      <c r="K21" s="10"/>
      <c r="L21" s="25">
        <f>K21+июль!L21</f>
        <v>0</v>
      </c>
    </row>
    <row r="22" spans="1:12">
      <c r="A22" s="1">
        <f t="shared" si="1"/>
        <v>20</v>
      </c>
      <c r="B22" s="8"/>
      <c r="C22" s="10"/>
      <c r="D22" s="25">
        <f>C22+июль!D22</f>
        <v>0</v>
      </c>
      <c r="E22" s="11"/>
      <c r="F22" s="25">
        <f>E22+июль!F22</f>
        <v>0</v>
      </c>
      <c r="G22" s="25">
        <f t="shared" si="0"/>
        <v>0</v>
      </c>
      <c r="H22" s="26">
        <f t="shared" si="0"/>
        <v>0</v>
      </c>
      <c r="I22" s="11"/>
      <c r="J22" s="26">
        <f>I22+июль!J22</f>
        <v>0</v>
      </c>
      <c r="K22" s="10"/>
      <c r="L22" s="25">
        <f>K22+июль!L22</f>
        <v>0</v>
      </c>
    </row>
    <row r="23" spans="1:12">
      <c r="A23" s="30"/>
      <c r="B23" s="27" t="s">
        <v>13</v>
      </c>
      <c r="C23" s="25">
        <f t="shared" ref="C23:L23" si="2">SUM(C3:C22)</f>
        <v>41703.420000000006</v>
      </c>
      <c r="D23" s="25">
        <f t="shared" si="2"/>
        <v>312154.86000000004</v>
      </c>
      <c r="E23" s="26">
        <f t="shared" si="2"/>
        <v>24717.3</v>
      </c>
      <c r="F23" s="25">
        <f t="shared" si="2"/>
        <v>214380.20999999996</v>
      </c>
      <c r="G23" s="25">
        <f t="shared" si="2"/>
        <v>-16986.12</v>
      </c>
      <c r="H23" s="26">
        <f t="shared" si="2"/>
        <v>-97774.650000000052</v>
      </c>
      <c r="I23" s="26">
        <f t="shared" si="2"/>
        <v>2819.76</v>
      </c>
      <c r="J23" s="26">
        <f t="shared" si="2"/>
        <v>402427.38</v>
      </c>
      <c r="K23" s="25">
        <f t="shared" si="2"/>
        <v>148233.53</v>
      </c>
      <c r="L23" s="25">
        <f t="shared" si="2"/>
        <v>380215.49000000005</v>
      </c>
    </row>
    <row r="28" spans="1:12">
      <c r="D28" s="31" t="s"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Декабрь11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декабрь12</vt:lpstr>
      <vt:lpstr>Лист14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Карлсуня</cp:lastModifiedBy>
  <cp:lastPrinted>2012-05-16T13:29:40Z</cp:lastPrinted>
  <dcterms:created xsi:type="dcterms:W3CDTF">1996-10-08T23:32:33Z</dcterms:created>
  <dcterms:modified xsi:type="dcterms:W3CDTF">2013-03-14T14:32:07Z</dcterms:modified>
</cp:coreProperties>
</file>