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12"/>
  </bookViews>
  <sheets>
    <sheet name="Декабрь10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11" sheetId="13" r:id="rId13"/>
    <sheet name="Лист14" sheetId="14" r:id="rId14"/>
  </sheets>
  <definedNames/>
  <calcPr fullCalcOnLoad="1"/>
</workbook>
</file>

<file path=xl/sharedStrings.xml><?xml version="1.0" encoding="utf-8"?>
<sst xmlns="http://schemas.openxmlformats.org/spreadsheetml/2006/main" count="426" uniqueCount="38">
  <si>
    <t>п/п</t>
  </si>
  <si>
    <t>Виды услуг</t>
  </si>
  <si>
    <t>нач. за месяц</t>
  </si>
  <si>
    <t>нач. с нач. года</t>
  </si>
  <si>
    <t>упл. жильц.за мес.</t>
  </si>
  <si>
    <t>упл.ж. с нач года</t>
  </si>
  <si>
    <t>разн. за мес.</t>
  </si>
  <si>
    <t>разн. с нач. отч. пер.</t>
  </si>
  <si>
    <t>выст. за мес.</t>
  </si>
  <si>
    <t xml:space="preserve">выст.с нач.года </t>
  </si>
  <si>
    <t>упл. Рел. в мес.</t>
  </si>
  <si>
    <t>Упл. с нач. года</t>
  </si>
  <si>
    <t>ИТОГО</t>
  </si>
  <si>
    <t>итого</t>
  </si>
  <si>
    <t>Пархоменко д.8</t>
  </si>
  <si>
    <t>Содержание общ имущ дома</t>
  </si>
  <si>
    <t>Отопление</t>
  </si>
  <si>
    <t xml:space="preserve">Содер общ им </t>
  </si>
  <si>
    <t>Горячее водоснабжение</t>
  </si>
  <si>
    <t>Газ</t>
  </si>
  <si>
    <t>Уборка и санит.очистка зем.уч-ка</t>
  </si>
  <si>
    <t>Электроснабжение</t>
  </si>
  <si>
    <t>Холодная вода</t>
  </si>
  <si>
    <t>Канализир.холодной воды</t>
  </si>
  <si>
    <t>Канализир.горячей  воды</t>
  </si>
  <si>
    <t>Текущ.ремонт общ.имущ.дома</t>
  </si>
  <si>
    <t>Управление многокварт.домом</t>
  </si>
  <si>
    <t>Содерж и тек.рем.в/дом.газоснабж</t>
  </si>
  <si>
    <t>Содержание и ремонт АППЗ</t>
  </si>
  <si>
    <t>Содержание и ремонт лифтов</t>
  </si>
  <si>
    <t xml:space="preserve">Очистка мусоропроводов </t>
  </si>
  <si>
    <t>Проверка и ТО внут.дом.газ.сет.</t>
  </si>
  <si>
    <t>Дератизация</t>
  </si>
  <si>
    <t>Обслуж. Узл.учета тепл.энерг</t>
  </si>
  <si>
    <t>Эксплуатация коллектив</t>
  </si>
  <si>
    <t>Эксплуатация коллективных</t>
  </si>
  <si>
    <t>Задолженность проживающих на 31 декабря 2011 г. составила   1177610 руб. 94 коп.</t>
  </si>
  <si>
    <t>Пархоменко дом 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</si>
</sst>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0.00_ ;[Red]\-0.00\ "/>
  </numFmts>
  <fonts count="23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 Narrow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12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shrinkToFit="1"/>
    </xf>
    <xf numFmtId="2" fontId="0" fillId="0" borderId="10" xfId="0" applyNumberFormat="1" applyBorder="1" applyAlignment="1">
      <alignment horizontal="center" shrinkToFit="1"/>
    </xf>
    <xf numFmtId="0" fontId="0" fillId="0" borderId="0" xfId="0" applyAlignment="1">
      <alignment horizontal="center" shrinkToFit="1"/>
    </xf>
    <xf numFmtId="181" fontId="0" fillId="0" borderId="10" xfId="0" applyNumberFormat="1" applyBorder="1" applyAlignment="1">
      <alignment horizontal="center"/>
    </xf>
    <xf numFmtId="18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2" fontId="0" fillId="0" borderId="10" xfId="0" applyNumberFormat="1" applyBorder="1" applyAlignment="1">
      <alignment horizontal="left" shrinkToFit="1"/>
    </xf>
    <xf numFmtId="0" fontId="0" fillId="0" borderId="0" xfId="0" applyAlignment="1">
      <alignment horizontal="left" shrinkToFi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2" fontId="19" fillId="0" borderId="10" xfId="0" applyNumberFormat="1" applyFont="1" applyBorder="1" applyAlignment="1">
      <alignment horizontal="left" shrinkToFit="1"/>
    </xf>
    <xf numFmtId="0" fontId="19" fillId="0" borderId="0" xfId="0" applyFont="1" applyAlignment="1">
      <alignment horizontal="left" shrinkToFit="1"/>
    </xf>
    <xf numFmtId="2" fontId="20" fillId="0" borderId="10" xfId="0" applyNumberFormat="1" applyFont="1" applyBorder="1" applyAlignment="1">
      <alignment horizontal="center" shrinkToFit="1"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4.8515625" style="0" customWidth="1"/>
    <col min="2" max="2" width="29.00390625" style="9" customWidth="1"/>
    <col min="3" max="3" width="10.28125" style="4" customWidth="1"/>
    <col min="4" max="4" width="10.00390625" style="4" customWidth="1"/>
    <col min="5" max="5" width="9.8515625" style="0" customWidth="1"/>
    <col min="6" max="6" width="10.57421875" style="4" customWidth="1"/>
    <col min="7" max="7" width="10.421875" style="4" customWidth="1"/>
    <col min="8" max="8" width="11.00390625" style="0" customWidth="1"/>
    <col min="9" max="9" width="11.28125" style="0" customWidth="1"/>
    <col min="10" max="10" width="10.140625" style="0" customWidth="1"/>
    <col min="11" max="12" width="10.140625" style="4" customWidth="1"/>
  </cols>
  <sheetData>
    <row r="1" spans="5:7" ht="12.75">
      <c r="E1" s="15"/>
      <c r="F1" s="16" t="s">
        <v>14</v>
      </c>
      <c r="G1" s="16"/>
    </row>
    <row r="3" spans="1:12" ht="12.75">
      <c r="A3" s="1" t="s">
        <v>0</v>
      </c>
      <c r="B3" s="6" t="s">
        <v>1</v>
      </c>
      <c r="C3" s="5" t="s">
        <v>2</v>
      </c>
      <c r="D3" s="6" t="s">
        <v>3</v>
      </c>
      <c r="E3" s="7" t="s">
        <v>4</v>
      </c>
      <c r="F3" s="6" t="s">
        <v>5</v>
      </c>
      <c r="G3" s="6" t="s">
        <v>6</v>
      </c>
      <c r="H3" s="7" t="s">
        <v>7</v>
      </c>
      <c r="I3" s="7" t="s">
        <v>8</v>
      </c>
      <c r="J3" s="7" t="s">
        <v>9</v>
      </c>
      <c r="K3" s="6" t="s">
        <v>10</v>
      </c>
      <c r="L3" s="6" t="s">
        <v>11</v>
      </c>
    </row>
    <row r="4" spans="1:12" ht="12.75">
      <c r="A4" s="1">
        <v>1</v>
      </c>
      <c r="B4" s="13" t="s">
        <v>15</v>
      </c>
      <c r="C4" s="10">
        <v>37433.35</v>
      </c>
      <c r="D4" s="10">
        <f>C4</f>
        <v>37433.35</v>
      </c>
      <c r="E4" s="11">
        <v>13106.19</v>
      </c>
      <c r="F4" s="10">
        <f>E4</f>
        <v>13106.19</v>
      </c>
      <c r="G4" s="10">
        <f>E4-C4</f>
        <v>-24327.159999999996</v>
      </c>
      <c r="H4" s="11">
        <f>F4-D4</f>
        <v>-24327.159999999996</v>
      </c>
      <c r="I4" s="11"/>
      <c r="J4" s="11">
        <f>I4</f>
        <v>0</v>
      </c>
      <c r="K4" s="10"/>
      <c r="L4" s="10">
        <f>K4</f>
        <v>0</v>
      </c>
    </row>
    <row r="5" spans="1:12" ht="12.75">
      <c r="A5" s="1">
        <f>A4+1</f>
        <v>2</v>
      </c>
      <c r="B5" s="13" t="s">
        <v>16</v>
      </c>
      <c r="C5" s="10">
        <v>82128.9</v>
      </c>
      <c r="D5" s="10">
        <f aca="true" t="shared" si="0" ref="D5:D23">C5</f>
        <v>82128.9</v>
      </c>
      <c r="E5" s="11">
        <v>28755</v>
      </c>
      <c r="F5" s="10">
        <f aca="true" t="shared" si="1" ref="F5:F23">E5</f>
        <v>28755</v>
      </c>
      <c r="G5" s="10">
        <f aca="true" t="shared" si="2" ref="G5:G23">E5-C5</f>
        <v>-53373.899999999994</v>
      </c>
      <c r="H5" s="11">
        <f aca="true" t="shared" si="3" ref="H5:H23">F5-D5</f>
        <v>-53373.899999999994</v>
      </c>
      <c r="I5" s="11">
        <v>170499.28</v>
      </c>
      <c r="J5" s="11">
        <f aca="true" t="shared" si="4" ref="J5:J23">I5</f>
        <v>170499.28</v>
      </c>
      <c r="K5" s="10"/>
      <c r="L5" s="10">
        <f aca="true" t="shared" si="5" ref="L5:L23">K5</f>
        <v>0</v>
      </c>
    </row>
    <row r="6" spans="1:12" ht="12.75">
      <c r="A6" s="1">
        <f aca="true" t="shared" si="6" ref="A6:A23">A5+1</f>
        <v>3</v>
      </c>
      <c r="B6" s="13" t="s">
        <v>18</v>
      </c>
      <c r="C6" s="10">
        <v>71321.7</v>
      </c>
      <c r="D6" s="10">
        <f t="shared" si="0"/>
        <v>71321.7</v>
      </c>
      <c r="E6" s="11">
        <v>24707.86</v>
      </c>
      <c r="F6" s="10">
        <f t="shared" si="1"/>
        <v>24707.86</v>
      </c>
      <c r="G6" s="10">
        <f t="shared" si="2"/>
        <v>-46613.84</v>
      </c>
      <c r="H6" s="11">
        <f t="shared" si="3"/>
        <v>-46613.84</v>
      </c>
      <c r="I6" s="11">
        <f>261145.1-I5</f>
        <v>90645.82</v>
      </c>
      <c r="J6" s="11">
        <f t="shared" si="4"/>
        <v>90645.82</v>
      </c>
      <c r="K6" s="10"/>
      <c r="L6" s="10">
        <f t="shared" si="5"/>
        <v>0</v>
      </c>
    </row>
    <row r="7" spans="1:12" ht="12.75">
      <c r="A7" s="1">
        <f t="shared" si="6"/>
        <v>4</v>
      </c>
      <c r="B7" s="13" t="s">
        <v>19</v>
      </c>
      <c r="C7" s="10">
        <v>9578.94</v>
      </c>
      <c r="D7" s="10">
        <f t="shared" si="0"/>
        <v>9578.94</v>
      </c>
      <c r="E7" s="11">
        <v>3273.37</v>
      </c>
      <c r="F7" s="10">
        <f t="shared" si="1"/>
        <v>3273.37</v>
      </c>
      <c r="G7" s="10">
        <f t="shared" si="2"/>
        <v>-6305.570000000001</v>
      </c>
      <c r="H7" s="11">
        <f t="shared" si="3"/>
        <v>-6305.570000000001</v>
      </c>
      <c r="I7" s="11"/>
      <c r="J7" s="11">
        <f t="shared" si="4"/>
        <v>0</v>
      </c>
      <c r="K7" s="10"/>
      <c r="L7" s="10">
        <f t="shared" si="5"/>
        <v>0</v>
      </c>
    </row>
    <row r="8" spans="1:12" ht="12.75">
      <c r="A8" s="1">
        <f t="shared" si="6"/>
        <v>5</v>
      </c>
      <c r="B8" s="14" t="s">
        <v>20</v>
      </c>
      <c r="C8" s="10">
        <v>6021.12</v>
      </c>
      <c r="D8" s="10">
        <f t="shared" si="0"/>
        <v>6021.12</v>
      </c>
      <c r="E8" s="11">
        <v>2108.12</v>
      </c>
      <c r="F8" s="10">
        <f t="shared" si="1"/>
        <v>2108.12</v>
      </c>
      <c r="G8" s="10">
        <f t="shared" si="2"/>
        <v>-3913</v>
      </c>
      <c r="H8" s="11">
        <f t="shared" si="3"/>
        <v>-3913</v>
      </c>
      <c r="I8" s="11"/>
      <c r="J8" s="11">
        <f t="shared" si="4"/>
        <v>0</v>
      </c>
      <c r="K8" s="10"/>
      <c r="L8" s="10">
        <f t="shared" si="5"/>
        <v>0</v>
      </c>
    </row>
    <row r="9" spans="1:12" ht="12.75">
      <c r="A9" s="1">
        <f t="shared" si="6"/>
        <v>6</v>
      </c>
      <c r="B9" s="13" t="s">
        <v>30</v>
      </c>
      <c r="C9" s="10">
        <v>0</v>
      </c>
      <c r="D9" s="10">
        <f t="shared" si="0"/>
        <v>0</v>
      </c>
      <c r="E9" s="11">
        <v>0</v>
      </c>
      <c r="F9" s="10">
        <f t="shared" si="1"/>
        <v>0</v>
      </c>
      <c r="G9" s="10">
        <f t="shared" si="2"/>
        <v>0</v>
      </c>
      <c r="H9" s="11">
        <f t="shared" si="3"/>
        <v>0</v>
      </c>
      <c r="I9" s="11"/>
      <c r="J9" s="11">
        <f t="shared" si="4"/>
        <v>0</v>
      </c>
      <c r="K9" s="10"/>
      <c r="L9" s="10">
        <f t="shared" si="5"/>
        <v>0</v>
      </c>
    </row>
    <row r="10" spans="1:12" ht="12.75">
      <c r="A10" s="1">
        <f t="shared" si="6"/>
        <v>7</v>
      </c>
      <c r="B10" s="13" t="s">
        <v>21</v>
      </c>
      <c r="C10" s="10">
        <v>55258.5</v>
      </c>
      <c r="D10" s="10">
        <f t="shared" si="0"/>
        <v>55258.5</v>
      </c>
      <c r="E10" s="11">
        <v>19262.67</v>
      </c>
      <c r="F10" s="10">
        <f t="shared" si="1"/>
        <v>19262.67</v>
      </c>
      <c r="G10" s="10">
        <f t="shared" si="2"/>
        <v>-35995.83</v>
      </c>
      <c r="H10" s="11">
        <f t="shared" si="3"/>
        <v>-35995.83</v>
      </c>
      <c r="I10" s="11">
        <v>64056</v>
      </c>
      <c r="J10" s="11">
        <f t="shared" si="4"/>
        <v>64056</v>
      </c>
      <c r="K10" s="10"/>
      <c r="L10" s="10">
        <f t="shared" si="5"/>
        <v>0</v>
      </c>
    </row>
    <row r="11" spans="1:12" ht="12.75">
      <c r="A11" s="1">
        <f t="shared" si="6"/>
        <v>8</v>
      </c>
      <c r="B11" s="13" t="s">
        <v>22</v>
      </c>
      <c r="C11" s="10">
        <v>24632.55</v>
      </c>
      <c r="D11" s="10">
        <f t="shared" si="0"/>
        <v>24632.55</v>
      </c>
      <c r="E11" s="11">
        <v>8533.42</v>
      </c>
      <c r="F11" s="10">
        <f t="shared" si="1"/>
        <v>8533.42</v>
      </c>
      <c r="G11" s="10">
        <f t="shared" si="2"/>
        <v>-16099.13</v>
      </c>
      <c r="H11" s="11">
        <f t="shared" si="3"/>
        <v>-16099.13</v>
      </c>
      <c r="I11" s="11">
        <v>30003.79</v>
      </c>
      <c r="J11" s="11">
        <f t="shared" si="4"/>
        <v>30003.79</v>
      </c>
      <c r="K11" s="10"/>
      <c r="L11" s="10">
        <f t="shared" si="5"/>
        <v>0</v>
      </c>
    </row>
    <row r="12" spans="1:12" ht="12.75">
      <c r="A12" s="1">
        <f t="shared" si="6"/>
        <v>9</v>
      </c>
      <c r="B12" s="13" t="s">
        <v>23</v>
      </c>
      <c r="C12" s="10">
        <v>24632.55</v>
      </c>
      <c r="D12" s="10">
        <f t="shared" si="0"/>
        <v>24632.55</v>
      </c>
      <c r="E12" s="11">
        <v>8533.42</v>
      </c>
      <c r="F12" s="10">
        <f t="shared" si="1"/>
        <v>8533.42</v>
      </c>
      <c r="G12" s="10">
        <f t="shared" si="2"/>
        <v>-16099.13</v>
      </c>
      <c r="H12" s="11">
        <f t="shared" si="3"/>
        <v>-16099.13</v>
      </c>
      <c r="I12" s="11">
        <v>30003.79</v>
      </c>
      <c r="J12" s="11">
        <f t="shared" si="4"/>
        <v>30003.79</v>
      </c>
      <c r="K12" s="10"/>
      <c r="L12" s="10">
        <f t="shared" si="5"/>
        <v>0</v>
      </c>
    </row>
    <row r="13" spans="1:12" ht="12.75">
      <c r="A13" s="1">
        <f t="shared" si="6"/>
        <v>10</v>
      </c>
      <c r="B13" s="13" t="s">
        <v>24</v>
      </c>
      <c r="C13" s="10">
        <v>16789.82</v>
      </c>
      <c r="D13" s="10">
        <f t="shared" si="0"/>
        <v>16789.82</v>
      </c>
      <c r="E13" s="11">
        <v>5816.48</v>
      </c>
      <c r="F13" s="10">
        <f t="shared" si="1"/>
        <v>5816.48</v>
      </c>
      <c r="G13" s="10">
        <f t="shared" si="2"/>
        <v>-10973.34</v>
      </c>
      <c r="H13" s="11">
        <f t="shared" si="3"/>
        <v>-10973.34</v>
      </c>
      <c r="I13" s="11">
        <v>18044.16</v>
      </c>
      <c r="J13" s="11">
        <f t="shared" si="4"/>
        <v>18044.16</v>
      </c>
      <c r="K13" s="10"/>
      <c r="L13" s="10">
        <f t="shared" si="5"/>
        <v>0</v>
      </c>
    </row>
    <row r="14" spans="1:12" ht="12.75">
      <c r="A14" s="1">
        <f t="shared" si="6"/>
        <v>11</v>
      </c>
      <c r="B14" s="13" t="s">
        <v>25</v>
      </c>
      <c r="C14" s="10">
        <v>23150.74</v>
      </c>
      <c r="D14" s="10">
        <f t="shared" si="0"/>
        <v>23150.74</v>
      </c>
      <c r="E14" s="11">
        <v>8105.56</v>
      </c>
      <c r="F14" s="10">
        <f t="shared" si="1"/>
        <v>8105.56</v>
      </c>
      <c r="G14" s="10">
        <f t="shared" si="2"/>
        <v>-15045.18</v>
      </c>
      <c r="H14" s="11">
        <f t="shared" si="3"/>
        <v>-15045.18</v>
      </c>
      <c r="I14" s="11"/>
      <c r="J14" s="11">
        <f t="shared" si="4"/>
        <v>0</v>
      </c>
      <c r="K14" s="10"/>
      <c r="L14" s="10">
        <f t="shared" si="5"/>
        <v>0</v>
      </c>
    </row>
    <row r="15" spans="1:12" ht="11.25" customHeight="1">
      <c r="A15" s="1">
        <f t="shared" si="6"/>
        <v>12</v>
      </c>
      <c r="B15" s="13" t="s">
        <v>26</v>
      </c>
      <c r="C15" s="10">
        <v>5450.06</v>
      </c>
      <c r="D15" s="10">
        <f t="shared" si="0"/>
        <v>5450.06</v>
      </c>
      <c r="E15" s="11">
        <v>1928.37</v>
      </c>
      <c r="F15" s="10">
        <f t="shared" si="1"/>
        <v>1928.37</v>
      </c>
      <c r="G15" s="10">
        <f t="shared" si="2"/>
        <v>-3521.6900000000005</v>
      </c>
      <c r="H15" s="11">
        <f t="shared" si="3"/>
        <v>-3521.6900000000005</v>
      </c>
      <c r="I15" s="11"/>
      <c r="J15" s="11">
        <f t="shared" si="4"/>
        <v>0</v>
      </c>
      <c r="K15" s="10"/>
      <c r="L15" s="10">
        <f t="shared" si="5"/>
        <v>0</v>
      </c>
    </row>
    <row r="16" spans="1:12" ht="12.75">
      <c r="A16" s="1">
        <f t="shared" si="6"/>
        <v>13</v>
      </c>
      <c r="B16" s="13" t="s">
        <v>27</v>
      </c>
      <c r="C16" s="10">
        <v>1867</v>
      </c>
      <c r="D16" s="10">
        <f t="shared" si="0"/>
        <v>1867</v>
      </c>
      <c r="E16" s="11">
        <v>653.67</v>
      </c>
      <c r="F16" s="10">
        <f t="shared" si="1"/>
        <v>653.67</v>
      </c>
      <c r="G16" s="10">
        <f t="shared" si="2"/>
        <v>-1213.33</v>
      </c>
      <c r="H16" s="11">
        <f t="shared" si="3"/>
        <v>-1213.33</v>
      </c>
      <c r="I16" s="11"/>
      <c r="J16" s="11">
        <f t="shared" si="4"/>
        <v>0</v>
      </c>
      <c r="K16" s="10"/>
      <c r="L16" s="10">
        <f t="shared" si="5"/>
        <v>0</v>
      </c>
    </row>
    <row r="17" spans="1:12" ht="12.75">
      <c r="A17" s="1">
        <f t="shared" si="6"/>
        <v>14</v>
      </c>
      <c r="B17" s="13" t="s">
        <v>28</v>
      </c>
      <c r="C17" s="10">
        <v>0</v>
      </c>
      <c r="D17" s="10">
        <f t="shared" si="0"/>
        <v>0</v>
      </c>
      <c r="E17" s="11">
        <v>0</v>
      </c>
      <c r="F17" s="10">
        <f t="shared" si="1"/>
        <v>0</v>
      </c>
      <c r="G17" s="10">
        <f t="shared" si="2"/>
        <v>0</v>
      </c>
      <c r="H17" s="11">
        <f t="shared" si="3"/>
        <v>0</v>
      </c>
      <c r="I17" s="11"/>
      <c r="J17" s="11">
        <f t="shared" si="4"/>
        <v>0</v>
      </c>
      <c r="K17" s="10"/>
      <c r="L17" s="10">
        <f t="shared" si="5"/>
        <v>0</v>
      </c>
    </row>
    <row r="18" spans="1:12" ht="12.75">
      <c r="A18" s="1">
        <f t="shared" si="6"/>
        <v>15</v>
      </c>
      <c r="B18" s="13" t="s">
        <v>29</v>
      </c>
      <c r="C18" s="10">
        <v>0</v>
      </c>
      <c r="D18" s="10">
        <f t="shared" si="0"/>
        <v>0</v>
      </c>
      <c r="E18" s="11">
        <v>0</v>
      </c>
      <c r="F18" s="10">
        <f t="shared" si="1"/>
        <v>0</v>
      </c>
      <c r="G18" s="10">
        <f t="shared" si="2"/>
        <v>0</v>
      </c>
      <c r="H18" s="11">
        <f t="shared" si="3"/>
        <v>0</v>
      </c>
      <c r="I18" s="11"/>
      <c r="J18" s="11">
        <f t="shared" si="4"/>
        <v>0</v>
      </c>
      <c r="K18" s="10"/>
      <c r="L18" s="10">
        <f t="shared" si="5"/>
        <v>0</v>
      </c>
    </row>
    <row r="19" spans="1:12" ht="12.75">
      <c r="A19" s="1">
        <f t="shared" si="6"/>
        <v>16</v>
      </c>
      <c r="B19" s="13" t="s">
        <v>31</v>
      </c>
      <c r="C19" s="10"/>
      <c r="D19" s="10">
        <f t="shared" si="0"/>
        <v>0</v>
      </c>
      <c r="E19" s="11"/>
      <c r="F19" s="10">
        <f t="shared" si="1"/>
        <v>0</v>
      </c>
      <c r="G19" s="10">
        <f t="shared" si="2"/>
        <v>0</v>
      </c>
      <c r="H19" s="11">
        <f t="shared" si="3"/>
        <v>0</v>
      </c>
      <c r="I19" s="11"/>
      <c r="J19" s="11">
        <f t="shared" si="4"/>
        <v>0</v>
      </c>
      <c r="K19" s="10"/>
      <c r="L19" s="10">
        <f t="shared" si="5"/>
        <v>0</v>
      </c>
    </row>
    <row r="20" spans="1:12" ht="12.75">
      <c r="A20" s="1">
        <f t="shared" si="6"/>
        <v>17</v>
      </c>
      <c r="B20" s="13" t="s">
        <v>32</v>
      </c>
      <c r="C20" s="10"/>
      <c r="D20" s="10">
        <f t="shared" si="0"/>
        <v>0</v>
      </c>
      <c r="E20" s="11"/>
      <c r="F20" s="10">
        <f t="shared" si="1"/>
        <v>0</v>
      </c>
      <c r="G20" s="10">
        <f t="shared" si="2"/>
        <v>0</v>
      </c>
      <c r="H20" s="11">
        <f t="shared" si="3"/>
        <v>0</v>
      </c>
      <c r="I20" s="11"/>
      <c r="J20" s="11">
        <f t="shared" si="4"/>
        <v>0</v>
      </c>
      <c r="K20" s="10"/>
      <c r="L20" s="10">
        <f t="shared" si="5"/>
        <v>0</v>
      </c>
    </row>
    <row r="21" spans="1:12" ht="12.75">
      <c r="A21" s="1">
        <f t="shared" si="6"/>
        <v>18</v>
      </c>
      <c r="B21" s="13" t="s">
        <v>33</v>
      </c>
      <c r="C21" s="10"/>
      <c r="D21" s="10">
        <f t="shared" si="0"/>
        <v>0</v>
      </c>
      <c r="E21" s="11"/>
      <c r="F21" s="10">
        <f t="shared" si="1"/>
        <v>0</v>
      </c>
      <c r="G21" s="10">
        <f t="shared" si="2"/>
        <v>0</v>
      </c>
      <c r="H21" s="11">
        <f t="shared" si="3"/>
        <v>0</v>
      </c>
      <c r="I21" s="11"/>
      <c r="J21" s="11">
        <f t="shared" si="4"/>
        <v>0</v>
      </c>
      <c r="K21" s="10"/>
      <c r="L21" s="10">
        <f t="shared" si="5"/>
        <v>0</v>
      </c>
    </row>
    <row r="22" spans="1:12" ht="12.75">
      <c r="A22" s="1">
        <f t="shared" si="6"/>
        <v>19</v>
      </c>
      <c r="B22" s="13"/>
      <c r="C22" s="10"/>
      <c r="D22" s="10">
        <f t="shared" si="0"/>
        <v>0</v>
      </c>
      <c r="E22" s="11"/>
      <c r="F22" s="10">
        <f t="shared" si="1"/>
        <v>0</v>
      </c>
      <c r="G22" s="10">
        <f t="shared" si="2"/>
        <v>0</v>
      </c>
      <c r="H22" s="11">
        <f t="shared" si="3"/>
        <v>0</v>
      </c>
      <c r="I22" s="11"/>
      <c r="J22" s="11">
        <f t="shared" si="4"/>
        <v>0</v>
      </c>
      <c r="K22" s="10"/>
      <c r="L22" s="10">
        <f t="shared" si="5"/>
        <v>0</v>
      </c>
    </row>
    <row r="23" spans="1:12" ht="12.75">
      <c r="A23" s="1">
        <f t="shared" si="6"/>
        <v>20</v>
      </c>
      <c r="B23" s="13"/>
      <c r="C23" s="10"/>
      <c r="D23" s="10">
        <f t="shared" si="0"/>
        <v>0</v>
      </c>
      <c r="E23" s="11"/>
      <c r="F23" s="10">
        <f t="shared" si="1"/>
        <v>0</v>
      </c>
      <c r="G23" s="10">
        <f t="shared" si="2"/>
        <v>0</v>
      </c>
      <c r="H23" s="11">
        <f t="shared" si="3"/>
        <v>0</v>
      </c>
      <c r="I23" s="11"/>
      <c r="J23" s="11">
        <f t="shared" si="4"/>
        <v>0</v>
      </c>
      <c r="K23" s="10"/>
      <c r="L23" s="10">
        <f t="shared" si="5"/>
        <v>0</v>
      </c>
    </row>
    <row r="24" spans="1:12" ht="12.75">
      <c r="A24" s="1"/>
      <c r="B24" s="8" t="s">
        <v>12</v>
      </c>
      <c r="C24" s="10">
        <f aca="true" t="shared" si="7" ref="C24:L24">SUM(C4:C23)</f>
        <v>358265.23</v>
      </c>
      <c r="D24" s="10">
        <f t="shared" si="7"/>
        <v>358265.23</v>
      </c>
      <c r="E24" s="11">
        <f t="shared" si="7"/>
        <v>124784.12999999998</v>
      </c>
      <c r="F24" s="10">
        <f t="shared" si="7"/>
        <v>124784.12999999998</v>
      </c>
      <c r="G24" s="10">
        <f t="shared" si="7"/>
        <v>-233481.09999999998</v>
      </c>
      <c r="H24" s="11">
        <f t="shared" si="7"/>
        <v>-233481.09999999998</v>
      </c>
      <c r="I24" s="11">
        <f t="shared" si="7"/>
        <v>403252.8399999999</v>
      </c>
      <c r="J24" s="11">
        <f t="shared" si="7"/>
        <v>403252.8399999999</v>
      </c>
      <c r="K24" s="10">
        <f t="shared" si="7"/>
        <v>0</v>
      </c>
      <c r="L24" s="10">
        <f t="shared" si="7"/>
        <v>0</v>
      </c>
    </row>
    <row r="25" spans="1:12" ht="12.75">
      <c r="A25" s="1"/>
      <c r="B25" s="8"/>
      <c r="C25" s="10"/>
      <c r="D25" s="10"/>
      <c r="E25" s="11"/>
      <c r="F25" s="10"/>
      <c r="G25" s="10"/>
      <c r="H25" s="11"/>
      <c r="I25" s="11"/>
      <c r="J25" s="11"/>
      <c r="K25" s="10"/>
      <c r="L25" s="10"/>
    </row>
    <row r="26" spans="1:12" ht="12.75">
      <c r="A26" s="1"/>
      <c r="B26" s="8"/>
      <c r="C26" s="3"/>
      <c r="D26" s="3"/>
      <c r="E26" s="2"/>
      <c r="F26" s="3"/>
      <c r="G26" s="3"/>
      <c r="H26" s="2"/>
      <c r="I26" s="2"/>
      <c r="J26" s="2"/>
      <c r="K26" s="3"/>
      <c r="L26" s="3"/>
    </row>
    <row r="27" spans="1:12" ht="12.75">
      <c r="A27" s="1"/>
      <c r="B27" s="8"/>
      <c r="C27" s="3"/>
      <c r="D27" s="3"/>
      <c r="E27" s="2"/>
      <c r="F27" s="3"/>
      <c r="G27" s="3"/>
      <c r="H27" s="2"/>
      <c r="I27" s="2"/>
      <c r="J27" s="2"/>
      <c r="K27" s="3"/>
      <c r="L27" s="3"/>
    </row>
    <row r="28" spans="1:12" ht="12.75">
      <c r="A28" s="1"/>
      <c r="B28" s="8"/>
      <c r="C28" s="3"/>
      <c r="D28" s="3"/>
      <c r="E28" s="2"/>
      <c r="F28" s="3"/>
      <c r="G28" s="3"/>
      <c r="H28" s="2"/>
      <c r="I28" s="2"/>
      <c r="J28" s="2"/>
      <c r="K28" s="3"/>
      <c r="L28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4.140625" style="0" customWidth="1"/>
    <col min="2" max="2" width="21.57421875" style="0" customWidth="1"/>
    <col min="3" max="3" width="10.140625" style="0" bestFit="1" customWidth="1"/>
    <col min="4" max="4" width="11.8515625" style="0" customWidth="1"/>
    <col min="5" max="5" width="10.140625" style="0" bestFit="1" customWidth="1"/>
    <col min="6" max="6" width="12.140625" style="0" customWidth="1"/>
    <col min="7" max="7" width="9.7109375" style="0" bestFit="1" customWidth="1"/>
    <col min="8" max="8" width="12.00390625" style="0" customWidth="1"/>
    <col min="9" max="9" width="9.28125" style="0" bestFit="1" customWidth="1"/>
    <col min="10" max="10" width="11.140625" style="0" customWidth="1"/>
    <col min="11" max="11" width="10.8515625" style="0" customWidth="1"/>
    <col min="12" max="12" width="11.00390625" style="0" customWidth="1"/>
  </cols>
  <sheetData>
    <row r="2" spans="1:12" ht="12.75">
      <c r="A2" s="1" t="s">
        <v>0</v>
      </c>
      <c r="B2" s="6" t="s">
        <v>1</v>
      </c>
      <c r="C2" s="5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6" t="s">
        <v>10</v>
      </c>
      <c r="L2" s="6" t="s">
        <v>11</v>
      </c>
    </row>
    <row r="3" spans="1:12" ht="15.75">
      <c r="A3" s="1">
        <v>1</v>
      </c>
      <c r="B3" s="17" t="s">
        <v>15</v>
      </c>
      <c r="C3" s="10">
        <f>26768.87+23628.76</f>
        <v>50397.63</v>
      </c>
      <c r="D3" s="10">
        <f>C3+август!D3</f>
        <v>486777.95</v>
      </c>
      <c r="E3" s="11">
        <f>25984.45+20064.12</f>
        <v>46048.57</v>
      </c>
      <c r="F3" s="10">
        <f>E3+август!F3</f>
        <v>385685.83</v>
      </c>
      <c r="G3" s="10">
        <f>E3-C3</f>
        <v>-4349.059999999998</v>
      </c>
      <c r="H3" s="11">
        <f>F3-D3</f>
        <v>-101092.12</v>
      </c>
      <c r="I3" s="11"/>
      <c r="J3" s="11">
        <f>I3+август!J3</f>
        <v>0</v>
      </c>
      <c r="K3" s="10"/>
      <c r="L3" s="10">
        <f>K3+август!L3</f>
        <v>0</v>
      </c>
    </row>
    <row r="4" spans="1:12" ht="15.75">
      <c r="A4" s="1">
        <f>A3+1</f>
        <v>2</v>
      </c>
      <c r="B4" s="17" t="s">
        <v>16</v>
      </c>
      <c r="C4" s="10">
        <f>62792.98+55427.14</f>
        <v>118220.12</v>
      </c>
      <c r="D4" s="10">
        <f>C4+август!D4</f>
        <v>1178186.77</v>
      </c>
      <c r="E4" s="11">
        <f>61335.32+47499.86</f>
        <v>108835.18</v>
      </c>
      <c r="F4" s="10">
        <f>E4+август!F4</f>
        <v>935392.5700000001</v>
      </c>
      <c r="G4" s="10">
        <f aca="true" t="shared" si="0" ref="G4:H22">E4-C4</f>
        <v>-9384.940000000002</v>
      </c>
      <c r="H4" s="11">
        <f t="shared" si="0"/>
        <v>-242794.19999999995</v>
      </c>
      <c r="I4" s="11"/>
      <c r="J4" s="11">
        <f>I4+август!J4</f>
        <v>195587.56</v>
      </c>
      <c r="K4" s="10"/>
      <c r="L4" s="10">
        <f>K4+август!L4</f>
        <v>190580.11</v>
      </c>
    </row>
    <row r="5" spans="1:12" ht="15.75">
      <c r="A5" s="1">
        <f aca="true" t="shared" si="1" ref="A5:A22">A4+1</f>
        <v>3</v>
      </c>
      <c r="B5" s="17" t="s">
        <v>18</v>
      </c>
      <c r="C5" s="10">
        <f>40966.35+51988.58</f>
        <v>92954.93</v>
      </c>
      <c r="D5" s="10">
        <f>C5+август!D5</f>
        <v>981352.4700000002</v>
      </c>
      <c r="E5" s="11">
        <f>41921.94+45997.31</f>
        <v>87919.25</v>
      </c>
      <c r="F5" s="10">
        <f>E5+август!F5</f>
        <v>770989.93</v>
      </c>
      <c r="G5" s="10">
        <f t="shared" si="0"/>
        <v>-5035.679999999993</v>
      </c>
      <c r="H5" s="11">
        <f t="shared" si="0"/>
        <v>-210362.54000000015</v>
      </c>
      <c r="I5" s="11"/>
      <c r="J5" s="11">
        <f>I5+август!J5</f>
        <v>116446.43000000001</v>
      </c>
      <c r="K5" s="10"/>
      <c r="L5" s="10">
        <f>K5+август!L5</f>
        <v>111296.81</v>
      </c>
    </row>
    <row r="6" spans="1:12" ht="15.75">
      <c r="A6" s="1">
        <f t="shared" si="1"/>
        <v>4</v>
      </c>
      <c r="B6" s="17" t="s">
        <v>19</v>
      </c>
      <c r="C6" s="10">
        <f>5576.39+7162.73</f>
        <v>12739.119999999999</v>
      </c>
      <c r="D6" s="10">
        <f>C6+август!D6</f>
        <v>131839.50999999998</v>
      </c>
      <c r="E6" s="11">
        <f>5766.86+6241.16</f>
        <v>12008.02</v>
      </c>
      <c r="F6" s="10">
        <f>E6+август!F6</f>
        <v>103256.40999999999</v>
      </c>
      <c r="G6" s="10">
        <f t="shared" si="0"/>
        <v>-731.0999999999985</v>
      </c>
      <c r="H6" s="11">
        <f t="shared" si="0"/>
        <v>-28583.09999999999</v>
      </c>
      <c r="I6" s="11"/>
      <c r="J6" s="11">
        <f>I6+август!J6</f>
        <v>0</v>
      </c>
      <c r="K6" s="10"/>
      <c r="L6" s="10">
        <f>K6+август!L6</f>
        <v>0</v>
      </c>
    </row>
    <row r="7" spans="1:12" ht="15.75">
      <c r="A7" s="1">
        <f t="shared" si="1"/>
        <v>5</v>
      </c>
      <c r="B7" s="18" t="s">
        <v>20</v>
      </c>
      <c r="C7" s="10">
        <f>4081.76+3603.03</f>
        <v>7684.790000000001</v>
      </c>
      <c r="D7" s="10">
        <f>C7+август!D7</f>
        <v>77453.37</v>
      </c>
      <c r="E7" s="11">
        <f>3093.32+3991.99</f>
        <v>7085.3099999999995</v>
      </c>
      <c r="F7" s="10">
        <f>E7+август!F7</f>
        <v>61531.28</v>
      </c>
      <c r="G7" s="10">
        <f t="shared" si="0"/>
        <v>-599.4800000000014</v>
      </c>
      <c r="H7" s="11">
        <f t="shared" si="0"/>
        <v>-15922.089999999997</v>
      </c>
      <c r="I7" s="11"/>
      <c r="J7" s="11">
        <f>I7+август!J7</f>
        <v>0</v>
      </c>
      <c r="K7" s="10"/>
      <c r="L7" s="10">
        <f>K7+август!L7</f>
        <v>0</v>
      </c>
    </row>
    <row r="8" spans="1:12" ht="15.75">
      <c r="A8" s="1">
        <f t="shared" si="1"/>
        <v>6</v>
      </c>
      <c r="B8" s="17" t="s">
        <v>30</v>
      </c>
      <c r="C8" s="10"/>
      <c r="D8" s="10">
        <f>C8+август!D8</f>
        <v>0</v>
      </c>
      <c r="E8" s="11"/>
      <c r="F8" s="10">
        <f>E8+август!F8</f>
        <v>0</v>
      </c>
      <c r="G8" s="10">
        <f t="shared" si="0"/>
        <v>0</v>
      </c>
      <c r="H8" s="11">
        <f t="shared" si="0"/>
        <v>0</v>
      </c>
      <c r="I8" s="11"/>
      <c r="J8" s="11">
        <f>I8+август!J8</f>
        <v>0</v>
      </c>
      <c r="K8" s="10"/>
      <c r="L8" s="10">
        <f>K8+август!L8</f>
        <v>0</v>
      </c>
    </row>
    <row r="9" spans="1:12" ht="15.75">
      <c r="A9" s="1">
        <f t="shared" si="1"/>
        <v>7</v>
      </c>
      <c r="B9" s="17" t="s">
        <v>21</v>
      </c>
      <c r="C9" s="10">
        <f>12360.61+25191.69</f>
        <v>37552.3</v>
      </c>
      <c r="D9" s="10">
        <f>C9+август!D9</f>
        <v>873758.3200000001</v>
      </c>
      <c r="E9" s="11">
        <f>31273.96+36536.13</f>
        <v>67810.09</v>
      </c>
      <c r="F9" s="10">
        <f>E9+август!F9</f>
        <v>656540.16</v>
      </c>
      <c r="G9" s="10">
        <f t="shared" si="0"/>
        <v>30257.789999999994</v>
      </c>
      <c r="H9" s="11">
        <f t="shared" si="0"/>
        <v>-217218.16000000003</v>
      </c>
      <c r="I9" s="11"/>
      <c r="J9" s="11">
        <f>I9+август!J9</f>
        <v>815988.3999999999</v>
      </c>
      <c r="K9" s="10"/>
      <c r="L9" s="10">
        <f>K9+август!L9</f>
        <v>255615.97000000003</v>
      </c>
    </row>
    <row r="10" spans="1:12" ht="15.75">
      <c r="A10" s="1">
        <f t="shared" si="1"/>
        <v>8</v>
      </c>
      <c r="B10" s="17" t="s">
        <v>22</v>
      </c>
      <c r="C10" s="10">
        <f>14961.11+19104.59</f>
        <v>34065.7</v>
      </c>
      <c r="D10" s="10">
        <f>C10+август!D10</f>
        <v>363642.10000000003</v>
      </c>
      <c r="E10" s="11">
        <f>14585.32+16470.68</f>
        <v>31056</v>
      </c>
      <c r="F10" s="10">
        <f>E10+август!F10</f>
        <v>258133.56</v>
      </c>
      <c r="G10" s="10">
        <f t="shared" si="0"/>
        <v>-3009.699999999997</v>
      </c>
      <c r="H10" s="11">
        <f t="shared" si="0"/>
        <v>-105508.54000000004</v>
      </c>
      <c r="I10" s="11"/>
      <c r="J10" s="11">
        <f>I10+август!J10</f>
        <v>207671.99000000002</v>
      </c>
      <c r="K10" s="10"/>
      <c r="L10" s="10">
        <f>K10+август!L10</f>
        <v>133119.44999999998</v>
      </c>
    </row>
    <row r="11" spans="1:12" ht="15.75">
      <c r="A11" s="1">
        <f t="shared" si="1"/>
        <v>9</v>
      </c>
      <c r="B11" s="17" t="s">
        <v>23</v>
      </c>
      <c r="C11" s="10">
        <f>14961.12+19104.59</f>
        <v>34065.71</v>
      </c>
      <c r="D11" s="10">
        <f>C11+август!D11</f>
        <v>363642.13000000006</v>
      </c>
      <c r="E11" s="11">
        <f>16470.67+14585.34</f>
        <v>31056.01</v>
      </c>
      <c r="F11" s="10">
        <f>E11+август!F11</f>
        <v>258133.64</v>
      </c>
      <c r="G11" s="10">
        <f t="shared" si="0"/>
        <v>-3009.7000000000007</v>
      </c>
      <c r="H11" s="11">
        <f t="shared" si="0"/>
        <v>-105508.49000000005</v>
      </c>
      <c r="I11" s="11"/>
      <c r="J11" s="11">
        <f>I11+август!J11</f>
        <v>207671.99000000002</v>
      </c>
      <c r="K11" s="10"/>
      <c r="L11" s="10">
        <f>K11+август!L11</f>
        <v>133119.44999999998</v>
      </c>
    </row>
    <row r="12" spans="1:12" ht="15.75">
      <c r="A12" s="1">
        <f t="shared" si="1"/>
        <v>10</v>
      </c>
      <c r="B12" s="17" t="s">
        <v>24</v>
      </c>
      <c r="C12" s="10">
        <f>10199.97+13021.89</f>
        <v>23221.86</v>
      </c>
      <c r="D12" s="10">
        <f>C12+август!D12</f>
        <v>244703.71000000002</v>
      </c>
      <c r="E12" s="11">
        <f>11532.97+10495.49</f>
        <v>22028.46</v>
      </c>
      <c r="F12" s="10">
        <f>E12+август!F12</f>
        <v>192451.79</v>
      </c>
      <c r="G12" s="10">
        <f t="shared" si="0"/>
        <v>-1193.4000000000015</v>
      </c>
      <c r="H12" s="11">
        <f t="shared" si="0"/>
        <v>-52251.92000000001</v>
      </c>
      <c r="I12" s="11"/>
      <c r="J12" s="11">
        <f>I12+август!J12</f>
        <v>124928.1</v>
      </c>
      <c r="K12" s="10"/>
      <c r="L12" s="10">
        <f>K12+август!L12</f>
        <v>83325.20999999999</v>
      </c>
    </row>
    <row r="13" spans="1:12" ht="15.75">
      <c r="A13" s="1">
        <f t="shared" si="1"/>
        <v>11</v>
      </c>
      <c r="B13" s="17" t="s">
        <v>25</v>
      </c>
      <c r="C13" s="10">
        <f>16074.03+14188.42</f>
        <v>30262.45</v>
      </c>
      <c r="D13" s="10">
        <f>C13+август!D13</f>
        <v>299400.31000000006</v>
      </c>
      <c r="E13" s="11">
        <f>15667.21+12120.68</f>
        <v>27787.89</v>
      </c>
      <c r="F13" s="10">
        <f>E13+август!F13</f>
        <v>237496.36</v>
      </c>
      <c r="G13" s="10">
        <f t="shared" si="0"/>
        <v>-2474.5600000000013</v>
      </c>
      <c r="H13" s="11">
        <f t="shared" si="0"/>
        <v>-61903.95000000007</v>
      </c>
      <c r="I13" s="11"/>
      <c r="J13" s="11">
        <f>I13+август!J13</f>
        <v>0</v>
      </c>
      <c r="K13" s="10"/>
      <c r="L13" s="10">
        <f>K13+август!L13</f>
        <v>0</v>
      </c>
    </row>
    <row r="14" spans="1:12" ht="15.75">
      <c r="A14" s="1">
        <f t="shared" si="1"/>
        <v>12</v>
      </c>
      <c r="B14" s="17" t="s">
        <v>26</v>
      </c>
      <c r="C14" s="10">
        <f>3733.71+3238.17</f>
        <v>6971.88</v>
      </c>
      <c r="D14" s="10">
        <f>C14+август!D14</f>
        <v>68576.61</v>
      </c>
      <c r="E14" s="11">
        <f>3651.59+2771.98</f>
        <v>6423.57</v>
      </c>
      <c r="F14" s="10">
        <f>E14+август!F14</f>
        <v>55736.280000000006</v>
      </c>
      <c r="G14" s="10">
        <f t="shared" si="0"/>
        <v>-548.3100000000004</v>
      </c>
      <c r="H14" s="11">
        <f t="shared" si="0"/>
        <v>-12840.329999999994</v>
      </c>
      <c r="I14" s="11"/>
      <c r="J14" s="11">
        <f>I14+август!J14</f>
        <v>0</v>
      </c>
      <c r="K14" s="10"/>
      <c r="L14" s="10">
        <f>K14+август!L14</f>
        <v>0</v>
      </c>
    </row>
    <row r="15" spans="1:12" ht="15.75">
      <c r="A15" s="1">
        <f t="shared" si="1"/>
        <v>13</v>
      </c>
      <c r="B15" s="17" t="s">
        <v>27</v>
      </c>
      <c r="C15" s="10">
        <f>1518.81+1340.63</f>
        <v>2859.44</v>
      </c>
      <c r="D15" s="10">
        <f>C15+август!D15</f>
        <v>26666.879999999997</v>
      </c>
      <c r="E15" s="11">
        <f>1449.81+1110.62</f>
        <v>2560.43</v>
      </c>
      <c r="F15" s="10">
        <f>E15+август!F15</f>
        <v>19650.199999999997</v>
      </c>
      <c r="G15" s="10">
        <f t="shared" si="0"/>
        <v>-299.0100000000002</v>
      </c>
      <c r="H15" s="11">
        <f t="shared" si="0"/>
        <v>-7016.68</v>
      </c>
      <c r="I15" s="11"/>
      <c r="J15" s="11">
        <f>I15+август!J15</f>
        <v>0</v>
      </c>
      <c r="K15" s="10"/>
      <c r="L15" s="10">
        <f>K15+август!L15</f>
        <v>0</v>
      </c>
    </row>
    <row r="16" spans="1:12" ht="15.75">
      <c r="A16" s="1">
        <f t="shared" si="1"/>
        <v>14</v>
      </c>
      <c r="B16" s="17" t="s">
        <v>28</v>
      </c>
      <c r="C16" s="10"/>
      <c r="D16" s="10">
        <f>C16+август!D16</f>
        <v>0</v>
      </c>
      <c r="E16" s="11"/>
      <c r="F16" s="10">
        <f>E16+август!F16</f>
        <v>0</v>
      </c>
      <c r="G16" s="10">
        <f t="shared" si="0"/>
        <v>0</v>
      </c>
      <c r="H16" s="11">
        <f t="shared" si="0"/>
        <v>0</v>
      </c>
      <c r="I16" s="11"/>
      <c r="J16" s="11">
        <f>I16+август!J16</f>
        <v>0</v>
      </c>
      <c r="K16" s="10"/>
      <c r="L16" s="10">
        <f>K16+август!L16</f>
        <v>0</v>
      </c>
    </row>
    <row r="17" spans="1:12" ht="15.75">
      <c r="A17" s="1">
        <f t="shared" si="1"/>
        <v>15</v>
      </c>
      <c r="B17" s="17" t="s">
        <v>29</v>
      </c>
      <c r="C17" s="10"/>
      <c r="D17" s="10">
        <f>C17+август!D17</f>
        <v>0</v>
      </c>
      <c r="E17" s="11"/>
      <c r="F17" s="10">
        <f>E17+август!F17</f>
        <v>0</v>
      </c>
      <c r="G17" s="10">
        <f t="shared" si="0"/>
        <v>0</v>
      </c>
      <c r="H17" s="11">
        <f t="shared" si="0"/>
        <v>0</v>
      </c>
      <c r="I17" s="11"/>
      <c r="J17" s="11">
        <f>I17+август!J17</f>
        <v>0</v>
      </c>
      <c r="K17" s="10"/>
      <c r="L17" s="10">
        <f>K17+август!L17</f>
        <v>0</v>
      </c>
    </row>
    <row r="18" spans="1:12" ht="12.75">
      <c r="A18" s="1">
        <f t="shared" si="1"/>
        <v>16</v>
      </c>
      <c r="B18" s="8" t="s">
        <v>31</v>
      </c>
      <c r="C18" s="10"/>
      <c r="D18" s="10">
        <f>C18+август!D18</f>
        <v>0</v>
      </c>
      <c r="E18" s="11"/>
      <c r="F18" s="10">
        <f>E18+август!F18</f>
        <v>0</v>
      </c>
      <c r="G18" s="10">
        <f t="shared" si="0"/>
        <v>0</v>
      </c>
      <c r="H18" s="11">
        <f t="shared" si="0"/>
        <v>0</v>
      </c>
      <c r="I18" s="11"/>
      <c r="J18" s="11">
        <f>I18+август!J18</f>
        <v>17556.63</v>
      </c>
      <c r="K18" s="10"/>
      <c r="L18" s="10">
        <f>K18+август!L18</f>
        <v>17556.63</v>
      </c>
    </row>
    <row r="19" spans="1:12" ht="12.75">
      <c r="A19" s="1">
        <f t="shared" si="1"/>
        <v>17</v>
      </c>
      <c r="B19" s="13" t="s">
        <v>32</v>
      </c>
      <c r="C19" s="10"/>
      <c r="D19" s="10">
        <f>C19+август!D19</f>
        <v>0</v>
      </c>
      <c r="E19" s="11"/>
      <c r="F19" s="10">
        <f>E19+август!F19</f>
        <v>0</v>
      </c>
      <c r="G19" s="10">
        <f t="shared" si="0"/>
        <v>0</v>
      </c>
      <c r="H19" s="11">
        <f t="shared" si="0"/>
        <v>0</v>
      </c>
      <c r="I19" s="11"/>
      <c r="J19" s="11">
        <f>I19+август!J19</f>
        <v>3278.88</v>
      </c>
      <c r="K19" s="10"/>
      <c r="L19" s="10">
        <f>K19+август!L19</f>
        <v>3278.88</v>
      </c>
    </row>
    <row r="20" spans="1:12" ht="12.75">
      <c r="A20" s="1">
        <f t="shared" si="1"/>
        <v>18</v>
      </c>
      <c r="B20" s="13" t="s">
        <v>33</v>
      </c>
      <c r="C20" s="10"/>
      <c r="D20" s="10">
        <f>C20+август!D20</f>
        <v>0</v>
      </c>
      <c r="E20" s="11"/>
      <c r="F20" s="10">
        <f>E20+август!F20</f>
        <v>0</v>
      </c>
      <c r="G20" s="10">
        <f t="shared" si="0"/>
        <v>0</v>
      </c>
      <c r="H20" s="11">
        <f t="shared" si="0"/>
        <v>0</v>
      </c>
      <c r="I20" s="11"/>
      <c r="J20" s="11">
        <f>I20+август!J20</f>
        <v>17500</v>
      </c>
      <c r="K20" s="10"/>
      <c r="L20" s="10">
        <f>K20+август!L20</f>
        <v>15000</v>
      </c>
    </row>
    <row r="21" spans="1:12" ht="12.75">
      <c r="A21" s="1">
        <f t="shared" si="1"/>
        <v>19</v>
      </c>
      <c r="B21" s="19" t="s">
        <v>35</v>
      </c>
      <c r="C21" s="10">
        <v>2262.34</v>
      </c>
      <c r="D21" s="10">
        <f>C21+август!D21</f>
        <v>4524.68</v>
      </c>
      <c r="E21" s="11">
        <v>2014.42</v>
      </c>
      <c r="F21" s="10">
        <f>E21+август!F21</f>
        <v>2134.6800000000003</v>
      </c>
      <c r="G21" s="10">
        <f t="shared" si="0"/>
        <v>-247.92000000000007</v>
      </c>
      <c r="H21" s="11">
        <f t="shared" si="0"/>
        <v>-2390</v>
      </c>
      <c r="I21" s="11"/>
      <c r="J21" s="11">
        <f>I21+август!J21</f>
        <v>0</v>
      </c>
      <c r="K21" s="10"/>
      <c r="L21" s="10">
        <f>K21+август!L21</f>
        <v>0</v>
      </c>
    </row>
    <row r="22" spans="1:12" ht="12.75">
      <c r="A22" s="1">
        <f t="shared" si="1"/>
        <v>20</v>
      </c>
      <c r="B22" s="8"/>
      <c r="C22" s="10"/>
      <c r="D22" s="10">
        <f>C22+август!D22</f>
        <v>0</v>
      </c>
      <c r="E22" s="11"/>
      <c r="F22" s="10">
        <f>E22+август!F22</f>
        <v>0</v>
      </c>
      <c r="G22" s="10">
        <f t="shared" si="0"/>
        <v>0</v>
      </c>
      <c r="H22" s="11">
        <f t="shared" si="0"/>
        <v>0</v>
      </c>
      <c r="I22" s="11"/>
      <c r="J22" s="11">
        <f>I22+август!J22</f>
        <v>0</v>
      </c>
      <c r="K22" s="10"/>
      <c r="L22" s="10">
        <f>K22+август!L22</f>
        <v>0</v>
      </c>
    </row>
    <row r="23" spans="1:12" ht="12.75">
      <c r="A23" s="1"/>
      <c r="B23" s="8" t="s">
        <v>13</v>
      </c>
      <c r="C23" s="10">
        <f aca="true" t="shared" si="2" ref="C23:L23">SUM(C3:C22)</f>
        <v>453258.27</v>
      </c>
      <c r="D23" s="10">
        <f t="shared" si="2"/>
        <v>5100524.8100000005</v>
      </c>
      <c r="E23" s="11">
        <f t="shared" si="2"/>
        <v>452633.2</v>
      </c>
      <c r="F23" s="10">
        <f t="shared" si="2"/>
        <v>3937132.6900000004</v>
      </c>
      <c r="G23" s="10">
        <f t="shared" si="2"/>
        <v>-625.0700000000024</v>
      </c>
      <c r="H23" s="11">
        <f t="shared" si="2"/>
        <v>-1163392.1200000003</v>
      </c>
      <c r="I23" s="11">
        <f t="shared" si="2"/>
        <v>0</v>
      </c>
      <c r="J23" s="11">
        <f t="shared" si="2"/>
        <v>1706629.9799999997</v>
      </c>
      <c r="K23" s="10">
        <f t="shared" si="2"/>
        <v>0</v>
      </c>
      <c r="L23" s="10">
        <f t="shared" si="2"/>
        <v>942892.5099999999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4.140625" style="0" customWidth="1"/>
    <col min="2" max="2" width="21.28125" style="0" customWidth="1"/>
    <col min="3" max="3" width="13.421875" style="0" customWidth="1"/>
    <col min="4" max="4" width="12.57421875" style="0" customWidth="1"/>
    <col min="5" max="5" width="10.140625" style="0" bestFit="1" customWidth="1"/>
    <col min="6" max="6" width="11.28125" style="0" customWidth="1"/>
    <col min="7" max="7" width="9.7109375" style="0" bestFit="1" customWidth="1"/>
    <col min="8" max="8" width="12.00390625" style="0" customWidth="1"/>
    <col min="9" max="9" width="9.28125" style="0" bestFit="1" customWidth="1"/>
    <col min="10" max="10" width="12.57421875" style="0" customWidth="1"/>
    <col min="11" max="11" width="9.28125" style="0" bestFit="1" customWidth="1"/>
    <col min="12" max="12" width="12.140625" style="0" customWidth="1"/>
  </cols>
  <sheetData>
    <row r="2" spans="1:12" ht="12.75">
      <c r="A2" s="1" t="s">
        <v>0</v>
      </c>
      <c r="B2" s="6" t="s">
        <v>1</v>
      </c>
      <c r="C2" s="5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6" t="s">
        <v>10</v>
      </c>
      <c r="L2" s="6" t="s">
        <v>11</v>
      </c>
    </row>
    <row r="3" spans="1:12" ht="15.75">
      <c r="A3" s="1">
        <v>1</v>
      </c>
      <c r="B3" s="17" t="s">
        <v>15</v>
      </c>
      <c r="C3" s="10">
        <f>21781.86+22882.32</f>
        <v>44664.18</v>
      </c>
      <c r="D3" s="10">
        <f>C3+сентябрь!D3</f>
        <v>531442.13</v>
      </c>
      <c r="E3" s="11">
        <f>22947.46+24440.37</f>
        <v>47387.83</v>
      </c>
      <c r="F3" s="10">
        <f>E3+сентябрь!F3</f>
        <v>433073.66000000003</v>
      </c>
      <c r="G3" s="10">
        <f>E3-C3</f>
        <v>2723.6500000000015</v>
      </c>
      <c r="H3" s="11">
        <f>F3-D3</f>
        <v>-98368.46999999997</v>
      </c>
      <c r="I3" s="11"/>
      <c r="J3" s="11">
        <f>I3+сентябрь!J3</f>
        <v>0</v>
      </c>
      <c r="K3" s="10"/>
      <c r="L3" s="10">
        <f>K3+сентябрь!L3</f>
        <v>0</v>
      </c>
    </row>
    <row r="4" spans="1:12" ht="15.75">
      <c r="A4" s="1">
        <f>A3+1</f>
        <v>2</v>
      </c>
      <c r="B4" s="17" t="s">
        <v>16</v>
      </c>
      <c r="C4" s="10">
        <f>54473.95+51094.76</f>
        <v>105568.70999999999</v>
      </c>
      <c r="D4" s="10">
        <f>C4+сентябрь!D4</f>
        <v>1283755.48</v>
      </c>
      <c r="E4" s="11">
        <f>54086.41+57534.35</f>
        <v>111620.76000000001</v>
      </c>
      <c r="F4" s="10">
        <f>E4+сентябрь!F4</f>
        <v>1047013.3300000001</v>
      </c>
      <c r="G4" s="10">
        <f aca="true" t="shared" si="0" ref="G4:H22">E4-C4</f>
        <v>6052.0500000000175</v>
      </c>
      <c r="H4" s="11">
        <f t="shared" si="0"/>
        <v>-236742.1499999999</v>
      </c>
      <c r="I4" s="11"/>
      <c r="J4" s="11">
        <f>I4+сентябрь!J4</f>
        <v>195587.56</v>
      </c>
      <c r="K4" s="10"/>
      <c r="L4" s="10">
        <f>K4+сентябрь!L4</f>
        <v>190580.11</v>
      </c>
    </row>
    <row r="5" spans="1:12" ht="15.75">
      <c r="A5" s="1">
        <f aca="true" t="shared" si="1" ref="A5:A22">A4+1</f>
        <v>3</v>
      </c>
      <c r="B5" s="17" t="s">
        <v>18</v>
      </c>
      <c r="C5" s="10">
        <f>46219.85+36815.12</f>
        <v>83034.97</v>
      </c>
      <c r="D5" s="10">
        <f>C5+сентябрь!D5</f>
        <v>1064387.4400000002</v>
      </c>
      <c r="E5" s="11">
        <f>40377.24+51800.2</f>
        <v>92177.44</v>
      </c>
      <c r="F5" s="10">
        <f>E5+сентябрь!F5</f>
        <v>863167.3700000001</v>
      </c>
      <c r="G5" s="10">
        <f t="shared" si="0"/>
        <v>9142.470000000001</v>
      </c>
      <c r="H5" s="11">
        <f t="shared" si="0"/>
        <v>-201220.07000000007</v>
      </c>
      <c r="I5" s="11"/>
      <c r="J5" s="11">
        <f>I5+сентябрь!J5</f>
        <v>116446.43000000001</v>
      </c>
      <c r="K5" s="10"/>
      <c r="L5" s="10">
        <f>K5+сентябрь!L5</f>
        <v>111296.81</v>
      </c>
    </row>
    <row r="6" spans="1:12" ht="15.75">
      <c r="A6" s="1">
        <f t="shared" si="1"/>
        <v>4</v>
      </c>
      <c r="B6" s="17" t="s">
        <v>19</v>
      </c>
      <c r="C6" s="10">
        <f>6422.63+5078.21</f>
        <v>11500.84</v>
      </c>
      <c r="D6" s="10">
        <f>C6+сентябрь!D6</f>
        <v>143340.34999999998</v>
      </c>
      <c r="E6" s="11">
        <f>5477.49+7124.09</f>
        <v>12601.58</v>
      </c>
      <c r="F6" s="10">
        <f>E6+сентябрь!F6</f>
        <v>115857.98999999999</v>
      </c>
      <c r="G6" s="10">
        <f t="shared" si="0"/>
        <v>1100.7399999999998</v>
      </c>
      <c r="H6" s="11">
        <f t="shared" si="0"/>
        <v>-27482.359999999986</v>
      </c>
      <c r="I6" s="11"/>
      <c r="J6" s="11">
        <f>I6+сентябрь!J6</f>
        <v>0</v>
      </c>
      <c r="K6" s="10"/>
      <c r="L6" s="10">
        <f>K6+сентябрь!L6</f>
        <v>0</v>
      </c>
    </row>
    <row r="7" spans="1:12" ht="15.75">
      <c r="A7" s="1">
        <f t="shared" si="1"/>
        <v>5</v>
      </c>
      <c r="B7" s="18" t="s">
        <v>20</v>
      </c>
      <c r="C7" s="10">
        <f>3463.1+3321.35</f>
        <v>6784.45</v>
      </c>
      <c r="D7" s="10">
        <f>C7+сентябрь!D7</f>
        <v>84237.81999999999</v>
      </c>
      <c r="E7" s="11">
        <f>3744.56+3523.39</f>
        <v>7267.95</v>
      </c>
      <c r="F7" s="10">
        <f>E7+сентябрь!F7</f>
        <v>68799.23</v>
      </c>
      <c r="G7" s="10">
        <f t="shared" si="0"/>
        <v>483.5</v>
      </c>
      <c r="H7" s="11">
        <f t="shared" si="0"/>
        <v>-15438.589999999997</v>
      </c>
      <c r="I7" s="11"/>
      <c r="J7" s="11">
        <f>I7+сентябрь!J7</f>
        <v>0</v>
      </c>
      <c r="K7" s="10"/>
      <c r="L7" s="10">
        <f>K7+сентябрь!L7</f>
        <v>0</v>
      </c>
    </row>
    <row r="8" spans="1:12" ht="15.75">
      <c r="A8" s="1">
        <f t="shared" si="1"/>
        <v>6</v>
      </c>
      <c r="B8" s="17" t="s">
        <v>30</v>
      </c>
      <c r="C8" s="10"/>
      <c r="D8" s="10">
        <f>C8+сентябрь!D8</f>
        <v>0</v>
      </c>
      <c r="E8" s="11"/>
      <c r="F8" s="10">
        <f>E8+сентябрь!F8</f>
        <v>0</v>
      </c>
      <c r="G8" s="10">
        <f t="shared" si="0"/>
        <v>0</v>
      </c>
      <c r="H8" s="11">
        <f t="shared" si="0"/>
        <v>0</v>
      </c>
      <c r="I8" s="11"/>
      <c r="J8" s="11">
        <f>I8+сентябрь!J8</f>
        <v>0</v>
      </c>
      <c r="K8" s="10"/>
      <c r="L8" s="10">
        <f>K8+сентябрь!L8</f>
        <v>0</v>
      </c>
    </row>
    <row r="9" spans="1:12" ht="15.75">
      <c r="A9" s="1">
        <f t="shared" si="1"/>
        <v>7</v>
      </c>
      <c r="B9" s="17" t="s">
        <v>21</v>
      </c>
      <c r="C9" s="10">
        <f>28453.34+28328</f>
        <v>56781.34</v>
      </c>
      <c r="D9" s="10">
        <f>C9+сентябрь!D9</f>
        <v>930539.66</v>
      </c>
      <c r="E9" s="11">
        <f>20569.36+30769.33</f>
        <v>51338.69</v>
      </c>
      <c r="F9" s="10">
        <f>E9+сентябрь!F9</f>
        <v>707878.8500000001</v>
      </c>
      <c r="G9" s="10">
        <f t="shared" si="0"/>
        <v>-5442.649999999994</v>
      </c>
      <c r="H9" s="11">
        <f t="shared" si="0"/>
        <v>-222660.80999999994</v>
      </c>
      <c r="I9" s="11"/>
      <c r="J9" s="11">
        <f>I9+сентябрь!J9</f>
        <v>815988.3999999999</v>
      </c>
      <c r="K9" s="10"/>
      <c r="L9" s="10">
        <f>K9+сентябрь!L9</f>
        <v>255615.97000000003</v>
      </c>
    </row>
    <row r="10" spans="1:12" ht="15.75">
      <c r="A10" s="1">
        <f t="shared" si="1"/>
        <v>8</v>
      </c>
      <c r="B10" s="17" t="s">
        <v>22</v>
      </c>
      <c r="C10" s="10">
        <f>17483.8+13512.79</f>
        <v>30996.59</v>
      </c>
      <c r="D10" s="10">
        <f>C10+сентябрь!D10</f>
        <v>394638.69000000006</v>
      </c>
      <c r="E10" s="11">
        <f>14337.27+17519.69</f>
        <v>31856.96</v>
      </c>
      <c r="F10" s="10">
        <f>E10+сентябрь!F10</f>
        <v>289990.52</v>
      </c>
      <c r="G10" s="10">
        <f t="shared" si="0"/>
        <v>860.369999999999</v>
      </c>
      <c r="H10" s="11">
        <f t="shared" si="0"/>
        <v>-104648.17000000004</v>
      </c>
      <c r="I10" s="11"/>
      <c r="J10" s="11">
        <f>I10+сентябрь!J10</f>
        <v>207671.99000000002</v>
      </c>
      <c r="K10" s="10"/>
      <c r="L10" s="10">
        <f>K10+сентябрь!L10</f>
        <v>133119.44999999998</v>
      </c>
    </row>
    <row r="11" spans="1:12" ht="15.75">
      <c r="A11" s="1">
        <f t="shared" si="1"/>
        <v>9</v>
      </c>
      <c r="B11" s="17" t="s">
        <v>23</v>
      </c>
      <c r="C11" s="10">
        <f>17483.81+13512.79</f>
        <v>30996.600000000002</v>
      </c>
      <c r="D11" s="10">
        <f>C11+сентябрь!D11</f>
        <v>394638.73000000004</v>
      </c>
      <c r="E11" s="11">
        <f>17519.69+14337.27</f>
        <v>31856.96</v>
      </c>
      <c r="F11" s="10">
        <f>E11+сентябрь!F11</f>
        <v>289990.60000000003</v>
      </c>
      <c r="G11" s="10">
        <f t="shared" si="0"/>
        <v>860.359999999997</v>
      </c>
      <c r="H11" s="11">
        <f t="shared" si="0"/>
        <v>-104648.13</v>
      </c>
      <c r="I11" s="11"/>
      <c r="J11" s="11">
        <f>I11+сентябрь!J11</f>
        <v>207671.99000000002</v>
      </c>
      <c r="K11" s="10"/>
      <c r="L11" s="10">
        <f>K11+сентябрь!L11</f>
        <v>133119.44999999998</v>
      </c>
    </row>
    <row r="12" spans="1:12" ht="15.75">
      <c r="A12" s="1">
        <f t="shared" si="1"/>
        <v>10</v>
      </c>
      <c r="B12" s="17" t="s">
        <v>24</v>
      </c>
      <c r="C12" s="10">
        <f>11938.12+9220.2</f>
        <v>21158.32</v>
      </c>
      <c r="D12" s="10">
        <f>C12+сентябрь!D12</f>
        <v>265862.03</v>
      </c>
      <c r="E12" s="11">
        <f>10157.75+12953.46</f>
        <v>23111.21</v>
      </c>
      <c r="F12" s="10">
        <f>E12+сентябрь!F12</f>
        <v>215563</v>
      </c>
      <c r="G12" s="10">
        <f t="shared" si="0"/>
        <v>1952.8899999999994</v>
      </c>
      <c r="H12" s="11">
        <f t="shared" si="0"/>
        <v>-50299.03000000003</v>
      </c>
      <c r="I12" s="11"/>
      <c r="J12" s="11">
        <f>I12+сентябрь!J12</f>
        <v>124928.1</v>
      </c>
      <c r="K12" s="10"/>
      <c r="L12" s="10">
        <f>K12+сентябрь!L12</f>
        <v>83325.20999999999</v>
      </c>
    </row>
    <row r="13" spans="1:12" ht="15.75">
      <c r="A13" s="1">
        <f t="shared" si="1"/>
        <v>11</v>
      </c>
      <c r="B13" s="17" t="s">
        <v>25</v>
      </c>
      <c r="C13" s="10">
        <f>14944.63+13079.47</f>
        <v>28024.1</v>
      </c>
      <c r="D13" s="10">
        <f>C13+сентябрь!D13</f>
        <v>327424.41000000003</v>
      </c>
      <c r="E13" s="11">
        <f>13831.37+14714.27</f>
        <v>28545.64</v>
      </c>
      <c r="F13" s="10">
        <f>E13+сентябрь!F13</f>
        <v>266042</v>
      </c>
      <c r="G13" s="10">
        <f t="shared" si="0"/>
        <v>521.5400000000009</v>
      </c>
      <c r="H13" s="11">
        <f t="shared" si="0"/>
        <v>-61382.41000000003</v>
      </c>
      <c r="I13" s="11"/>
      <c r="J13" s="11">
        <f>I13+сентябрь!J13</f>
        <v>0</v>
      </c>
      <c r="K13" s="10"/>
      <c r="L13" s="10">
        <f>K13+сентябрь!L13</f>
        <v>0</v>
      </c>
    </row>
    <row r="14" spans="1:12" ht="15.75">
      <c r="A14" s="1">
        <f t="shared" si="1"/>
        <v>12</v>
      </c>
      <c r="B14" s="17" t="s">
        <v>26</v>
      </c>
      <c r="C14" s="10">
        <f>3038.16+3110.22</f>
        <v>6148.379999999999</v>
      </c>
      <c r="D14" s="10">
        <f>C14+сентябрь!D14</f>
        <v>74724.99</v>
      </c>
      <c r="E14" s="11">
        <f>3425.29+3168.69</f>
        <v>6593.98</v>
      </c>
      <c r="F14" s="10">
        <f>E14+сентябрь!F14</f>
        <v>62330.26000000001</v>
      </c>
      <c r="G14" s="10">
        <f t="shared" si="0"/>
        <v>445.60000000000036</v>
      </c>
      <c r="H14" s="11">
        <f t="shared" si="0"/>
        <v>-12394.729999999996</v>
      </c>
      <c r="I14" s="11"/>
      <c r="J14" s="11">
        <f>I14+сентябрь!J14</f>
        <v>0</v>
      </c>
      <c r="K14" s="10"/>
      <c r="L14" s="10">
        <f>K14+сентябрь!L14</f>
        <v>0</v>
      </c>
    </row>
    <row r="15" spans="1:12" ht="15.75">
      <c r="A15" s="1">
        <f t="shared" si="1"/>
        <v>13</v>
      </c>
      <c r="B15" s="17" t="s">
        <v>27</v>
      </c>
      <c r="C15" s="10">
        <f>1483.11+1235.86</f>
        <v>2718.97</v>
      </c>
      <c r="D15" s="10">
        <f>C15+сентябрь!D15</f>
        <v>29385.85</v>
      </c>
      <c r="E15" s="11">
        <f>1282.13+1372.04</f>
        <v>2654.17</v>
      </c>
      <c r="F15" s="10">
        <f>E15+сентябрь!F15</f>
        <v>22304.369999999995</v>
      </c>
      <c r="G15" s="10">
        <f t="shared" si="0"/>
        <v>-64.79999999999973</v>
      </c>
      <c r="H15" s="11">
        <f t="shared" si="0"/>
        <v>-7081.480000000003</v>
      </c>
      <c r="I15" s="11"/>
      <c r="J15" s="11">
        <f>I15+сентябрь!J15</f>
        <v>0</v>
      </c>
      <c r="K15" s="10"/>
      <c r="L15" s="10">
        <f>K15+сентябрь!L15</f>
        <v>0</v>
      </c>
    </row>
    <row r="16" spans="1:12" ht="15.75">
      <c r="A16" s="1">
        <f t="shared" si="1"/>
        <v>14</v>
      </c>
      <c r="B16" s="17" t="s">
        <v>28</v>
      </c>
      <c r="C16" s="10"/>
      <c r="D16" s="10">
        <f>C16+сентябрь!D16</f>
        <v>0</v>
      </c>
      <c r="E16" s="11"/>
      <c r="F16" s="10">
        <f>E16+сентябрь!F16</f>
        <v>0</v>
      </c>
      <c r="G16" s="10">
        <f t="shared" si="0"/>
        <v>0</v>
      </c>
      <c r="H16" s="11">
        <f t="shared" si="0"/>
        <v>0</v>
      </c>
      <c r="I16" s="11"/>
      <c r="J16" s="11">
        <f>I16+сентябрь!J16</f>
        <v>0</v>
      </c>
      <c r="K16" s="10"/>
      <c r="L16" s="10">
        <f>K16+сентябрь!L16</f>
        <v>0</v>
      </c>
    </row>
    <row r="17" spans="1:12" ht="15.75">
      <c r="A17" s="1">
        <f t="shared" si="1"/>
        <v>15</v>
      </c>
      <c r="B17" s="17" t="s">
        <v>29</v>
      </c>
      <c r="C17" s="10"/>
      <c r="D17" s="10">
        <f>C17+сентябрь!D17</f>
        <v>0</v>
      </c>
      <c r="E17" s="11"/>
      <c r="F17" s="10">
        <f>E17+сентябрь!F17</f>
        <v>0</v>
      </c>
      <c r="G17" s="10">
        <f t="shared" si="0"/>
        <v>0</v>
      </c>
      <c r="H17" s="11">
        <f t="shared" si="0"/>
        <v>0</v>
      </c>
      <c r="I17" s="11"/>
      <c r="J17" s="11">
        <f>I17+сентябрь!J17</f>
        <v>0</v>
      </c>
      <c r="K17" s="10"/>
      <c r="L17" s="10">
        <f>K17+сентябрь!L17</f>
        <v>0</v>
      </c>
    </row>
    <row r="18" spans="1:12" ht="12.75">
      <c r="A18" s="1">
        <f t="shared" si="1"/>
        <v>16</v>
      </c>
      <c r="B18" s="8" t="s">
        <v>31</v>
      </c>
      <c r="C18" s="10"/>
      <c r="D18" s="10">
        <f>C18+сентябрь!D18</f>
        <v>0</v>
      </c>
      <c r="E18" s="11"/>
      <c r="F18" s="10">
        <f>E18+сентябрь!F18</f>
        <v>0</v>
      </c>
      <c r="G18" s="10">
        <f t="shared" si="0"/>
        <v>0</v>
      </c>
      <c r="H18" s="11">
        <f t="shared" si="0"/>
        <v>0</v>
      </c>
      <c r="I18" s="11"/>
      <c r="J18" s="11">
        <f>I18+сентябрь!J18</f>
        <v>17556.63</v>
      </c>
      <c r="K18" s="10"/>
      <c r="L18" s="10">
        <f>K18+сентябрь!L18</f>
        <v>17556.63</v>
      </c>
    </row>
    <row r="19" spans="1:12" ht="12.75">
      <c r="A19" s="1">
        <f t="shared" si="1"/>
        <v>17</v>
      </c>
      <c r="B19" s="13" t="s">
        <v>32</v>
      </c>
      <c r="C19" s="10"/>
      <c r="D19" s="10">
        <f>C19+сентябрь!D19</f>
        <v>0</v>
      </c>
      <c r="E19" s="11"/>
      <c r="F19" s="10">
        <f>E19+сентябрь!F19</f>
        <v>0</v>
      </c>
      <c r="G19" s="10">
        <f t="shared" si="0"/>
        <v>0</v>
      </c>
      <c r="H19" s="11">
        <f t="shared" si="0"/>
        <v>0</v>
      </c>
      <c r="I19" s="11"/>
      <c r="J19" s="11">
        <f>I19+сентябрь!J19</f>
        <v>3278.88</v>
      </c>
      <c r="K19" s="10"/>
      <c r="L19" s="10">
        <f>K19+сентябрь!L19</f>
        <v>3278.88</v>
      </c>
    </row>
    <row r="20" spans="1:12" ht="12.75">
      <c r="A20" s="1">
        <f t="shared" si="1"/>
        <v>18</v>
      </c>
      <c r="B20" s="13" t="s">
        <v>33</v>
      </c>
      <c r="C20" s="10"/>
      <c r="D20" s="10">
        <f>C20+сентябрь!D20</f>
        <v>0</v>
      </c>
      <c r="E20" s="11"/>
      <c r="F20" s="10">
        <f>E20+сентябрь!F20</f>
        <v>0</v>
      </c>
      <c r="G20" s="10">
        <f t="shared" si="0"/>
        <v>0</v>
      </c>
      <c r="H20" s="11">
        <f t="shared" si="0"/>
        <v>0</v>
      </c>
      <c r="I20" s="11"/>
      <c r="J20" s="11">
        <f>I20+сентябрь!J20</f>
        <v>17500</v>
      </c>
      <c r="K20" s="10"/>
      <c r="L20" s="10">
        <f>K20+сентябрь!L20</f>
        <v>15000</v>
      </c>
    </row>
    <row r="21" spans="1:12" ht="12.75">
      <c r="A21" s="1">
        <f t="shared" si="1"/>
        <v>19</v>
      </c>
      <c r="B21" s="19" t="s">
        <v>35</v>
      </c>
      <c r="C21" s="10">
        <v>2632.46</v>
      </c>
      <c r="D21" s="10">
        <f>C21+сентябрь!D21</f>
        <v>7157.14</v>
      </c>
      <c r="E21" s="11">
        <v>1983.47</v>
      </c>
      <c r="F21" s="10">
        <f>E21+сентябрь!F21</f>
        <v>4118.150000000001</v>
      </c>
      <c r="G21" s="10">
        <f t="shared" si="0"/>
        <v>-648.99</v>
      </c>
      <c r="H21" s="11">
        <f t="shared" si="0"/>
        <v>-3038.99</v>
      </c>
      <c r="I21" s="11"/>
      <c r="J21" s="11">
        <f>I21+сентябрь!J21</f>
        <v>0</v>
      </c>
      <c r="K21" s="10"/>
      <c r="L21" s="10">
        <f>K21+сентябрь!L21</f>
        <v>0</v>
      </c>
    </row>
    <row r="22" spans="1:12" ht="12.75">
      <c r="A22" s="1">
        <f t="shared" si="1"/>
        <v>20</v>
      </c>
      <c r="B22" s="8"/>
      <c r="C22" s="10"/>
      <c r="D22" s="10">
        <f>C22+сентябрь!D22</f>
        <v>0</v>
      </c>
      <c r="E22" s="11"/>
      <c r="F22" s="10">
        <f>E22+сентябрь!F22</f>
        <v>0</v>
      </c>
      <c r="G22" s="10">
        <f t="shared" si="0"/>
        <v>0</v>
      </c>
      <c r="H22" s="11">
        <f t="shared" si="0"/>
        <v>0</v>
      </c>
      <c r="I22" s="11"/>
      <c r="J22" s="11">
        <f>I22+сентябрь!J22</f>
        <v>0</v>
      </c>
      <c r="K22" s="10"/>
      <c r="L22" s="10">
        <f>K22+сентябрь!L22</f>
        <v>0</v>
      </c>
    </row>
    <row r="23" spans="1:12" ht="12.75">
      <c r="A23" s="1"/>
      <c r="B23" s="8" t="s">
        <v>13</v>
      </c>
      <c r="C23" s="10">
        <f aca="true" t="shared" si="2" ref="C23:L23">SUM(C3:C22)</f>
        <v>431009.91</v>
      </c>
      <c r="D23" s="10">
        <f t="shared" si="2"/>
        <v>5531534.720000001</v>
      </c>
      <c r="E23" s="11">
        <f t="shared" si="2"/>
        <v>448996.6400000001</v>
      </c>
      <c r="F23" s="10">
        <f t="shared" si="2"/>
        <v>4386129.330000001</v>
      </c>
      <c r="G23" s="10">
        <f t="shared" si="2"/>
        <v>17986.730000000018</v>
      </c>
      <c r="H23" s="11">
        <f t="shared" si="2"/>
        <v>-1145405.39</v>
      </c>
      <c r="I23" s="11">
        <f t="shared" si="2"/>
        <v>0</v>
      </c>
      <c r="J23" s="11">
        <f t="shared" si="2"/>
        <v>1706629.9799999997</v>
      </c>
      <c r="K23" s="10">
        <f t="shared" si="2"/>
        <v>0</v>
      </c>
      <c r="L23" s="10">
        <f t="shared" si="2"/>
        <v>942892.5099999999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4.140625" style="0" customWidth="1"/>
    <col min="2" max="2" width="19.57421875" style="0" customWidth="1"/>
    <col min="3" max="3" width="10.57421875" style="0" customWidth="1"/>
    <col min="4" max="4" width="13.28125" style="0" customWidth="1"/>
    <col min="5" max="6" width="11.57421875" style="0" customWidth="1"/>
    <col min="7" max="7" width="10.421875" style="0" customWidth="1"/>
    <col min="8" max="8" width="12.28125" style="0" customWidth="1"/>
    <col min="9" max="9" width="9.28125" style="0" bestFit="1" customWidth="1"/>
    <col min="10" max="10" width="12.57421875" style="0" customWidth="1"/>
    <col min="11" max="11" width="9.28125" style="0" bestFit="1" customWidth="1"/>
    <col min="12" max="12" width="11.8515625" style="0" customWidth="1"/>
  </cols>
  <sheetData>
    <row r="2" spans="1:12" ht="12.75">
      <c r="A2" s="1" t="s">
        <v>0</v>
      </c>
      <c r="B2" s="6" t="s">
        <v>1</v>
      </c>
      <c r="C2" s="5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6" t="s">
        <v>10</v>
      </c>
      <c r="L2" s="6" t="s">
        <v>11</v>
      </c>
    </row>
    <row r="3" spans="1:12" ht="15.75">
      <c r="A3" s="1">
        <v>1</v>
      </c>
      <c r="B3" s="17" t="s">
        <v>15</v>
      </c>
      <c r="C3" s="10">
        <f>21994.97+28615.6</f>
        <v>50610.57</v>
      </c>
      <c r="D3" s="10">
        <f>C3+октябрь!D3</f>
        <v>582052.7</v>
      </c>
      <c r="E3" s="11">
        <f>19651.62+22973.2</f>
        <v>42624.82</v>
      </c>
      <c r="F3" s="10">
        <f>E3+октябрь!F3</f>
        <v>475698.48000000004</v>
      </c>
      <c r="G3" s="10">
        <f>E3-C3</f>
        <v>-7985.75</v>
      </c>
      <c r="H3" s="11">
        <f>F3-D3</f>
        <v>-106354.21999999991</v>
      </c>
      <c r="I3" s="11"/>
      <c r="J3" s="11">
        <f>I3+октябрь!J3</f>
        <v>0</v>
      </c>
      <c r="K3" s="10"/>
      <c r="L3" s="10">
        <f>K3+октябрь!L3</f>
        <v>0</v>
      </c>
    </row>
    <row r="4" spans="1:12" ht="15.75">
      <c r="A4" s="1">
        <f>A3+1</f>
        <v>2</v>
      </c>
      <c r="B4" s="17" t="s">
        <v>16</v>
      </c>
      <c r="C4" s="10">
        <f>51594.66+67124.97</f>
        <v>118719.63</v>
      </c>
      <c r="D4" s="10">
        <f>C4+октябрь!D4</f>
        <v>1402475.1099999999</v>
      </c>
      <c r="E4" s="11">
        <f>46403.31+54200.47</f>
        <v>100603.78</v>
      </c>
      <c r="F4" s="10">
        <f>E4+октябрь!F4</f>
        <v>1147617.11</v>
      </c>
      <c r="G4" s="10">
        <f aca="true" t="shared" si="0" ref="G4:H22">E4-C4</f>
        <v>-18115.850000000006</v>
      </c>
      <c r="H4" s="11">
        <f t="shared" si="0"/>
        <v>-254857.99999999977</v>
      </c>
      <c r="I4" s="11"/>
      <c r="J4" s="11">
        <f>I4+октябрь!J4</f>
        <v>195587.56</v>
      </c>
      <c r="K4" s="10"/>
      <c r="L4" s="10">
        <f>K4+октябрь!L4</f>
        <v>190580.11</v>
      </c>
    </row>
    <row r="5" spans="1:12" ht="15.75">
      <c r="A5" s="1">
        <f aca="true" t="shared" si="1" ref="A5:A22">A4+1</f>
        <v>3</v>
      </c>
      <c r="B5" s="17" t="s">
        <v>18</v>
      </c>
      <c r="C5" s="10">
        <f>42517.44+64063.44</f>
        <v>106580.88</v>
      </c>
      <c r="D5" s="10">
        <f>C5+октябрь!D5</f>
        <v>1170968.3200000003</v>
      </c>
      <c r="E5" s="11">
        <f>37726.03+46382.56</f>
        <v>84108.59</v>
      </c>
      <c r="F5" s="10">
        <f>E5+октябрь!F5</f>
        <v>947275.9600000001</v>
      </c>
      <c r="G5" s="10">
        <f t="shared" si="0"/>
        <v>-22472.290000000008</v>
      </c>
      <c r="H5" s="11">
        <f t="shared" si="0"/>
        <v>-223692.36000000022</v>
      </c>
      <c r="I5" s="11"/>
      <c r="J5" s="11">
        <f>I5+октябрь!J5</f>
        <v>116446.43000000001</v>
      </c>
      <c r="K5" s="10"/>
      <c r="L5" s="10">
        <f>K5+октябрь!L5</f>
        <v>111296.81</v>
      </c>
    </row>
    <row r="6" spans="1:12" ht="15.75">
      <c r="A6" s="1">
        <f t="shared" si="1"/>
        <v>4</v>
      </c>
      <c r="B6" s="17" t="s">
        <v>19</v>
      </c>
      <c r="C6" s="10">
        <f>5857.84+8826.34</f>
        <v>14684.18</v>
      </c>
      <c r="D6" s="10">
        <f>C6+октябрь!D6</f>
        <v>158024.52999999997</v>
      </c>
      <c r="E6" s="11">
        <f>5138.9+6449.86</f>
        <v>11588.759999999998</v>
      </c>
      <c r="F6" s="10">
        <f>E6+октябрь!F6</f>
        <v>127446.74999999999</v>
      </c>
      <c r="G6" s="10">
        <f t="shared" si="0"/>
        <v>-3095.420000000002</v>
      </c>
      <c r="H6" s="11">
        <f t="shared" si="0"/>
        <v>-30577.779999999984</v>
      </c>
      <c r="I6" s="11"/>
      <c r="J6" s="11">
        <f>I6+октябрь!J6</f>
        <v>0</v>
      </c>
      <c r="K6" s="10"/>
      <c r="L6" s="10">
        <f>K6+октябрь!L6</f>
        <v>0</v>
      </c>
    </row>
    <row r="7" spans="1:12" ht="15.75">
      <c r="A7" s="1">
        <f t="shared" si="1"/>
        <v>5</v>
      </c>
      <c r="B7" s="18" t="s">
        <v>20</v>
      </c>
      <c r="C7" s="10">
        <f>3353.85+4363.41</f>
        <v>7717.26</v>
      </c>
      <c r="D7" s="10">
        <f>C7+октябрь!D7</f>
        <v>91955.07999999999</v>
      </c>
      <c r="E7" s="11">
        <f>3018.47+3517.22</f>
        <v>6535.69</v>
      </c>
      <c r="F7" s="10">
        <f>E7+октябрь!F7</f>
        <v>75334.92</v>
      </c>
      <c r="G7" s="10">
        <f t="shared" si="0"/>
        <v>-1181.5700000000006</v>
      </c>
      <c r="H7" s="11">
        <f t="shared" si="0"/>
        <v>-16620.15999999999</v>
      </c>
      <c r="I7" s="11"/>
      <c r="J7" s="11">
        <f>I7+октябрь!J7</f>
        <v>0</v>
      </c>
      <c r="K7" s="10"/>
      <c r="L7" s="10">
        <f>K7+октябрь!L7</f>
        <v>0</v>
      </c>
    </row>
    <row r="8" spans="1:12" ht="15.75">
      <c r="A8" s="1">
        <f t="shared" si="1"/>
        <v>6</v>
      </c>
      <c r="B8" s="17" t="s">
        <v>30</v>
      </c>
      <c r="C8" s="10"/>
      <c r="D8" s="10">
        <f>C8+октябрь!D8</f>
        <v>0</v>
      </c>
      <c r="E8" s="11"/>
      <c r="F8" s="10">
        <f>E8+октябрь!F8</f>
        <v>0</v>
      </c>
      <c r="G8" s="10">
        <f t="shared" si="0"/>
        <v>0</v>
      </c>
      <c r="H8" s="11">
        <f t="shared" si="0"/>
        <v>0</v>
      </c>
      <c r="I8" s="11"/>
      <c r="J8" s="11">
        <f>I8+октябрь!J8</f>
        <v>0</v>
      </c>
      <c r="K8" s="10"/>
      <c r="L8" s="10">
        <f>K8+октябрь!L8</f>
        <v>0</v>
      </c>
    </row>
    <row r="9" spans="1:12" ht="15.75">
      <c r="A9" s="1">
        <f t="shared" si="1"/>
        <v>7</v>
      </c>
      <c r="B9" s="17" t="s">
        <v>21</v>
      </c>
      <c r="C9" s="10">
        <f>15972.66+24067.02</f>
        <v>40039.68</v>
      </c>
      <c r="D9" s="10">
        <f>C9+октябрь!D9</f>
        <v>970579.3400000001</v>
      </c>
      <c r="E9" s="11">
        <f>18069.79+32859.53</f>
        <v>50929.32</v>
      </c>
      <c r="F9" s="10">
        <f>E9+октябрь!F9</f>
        <v>758808.17</v>
      </c>
      <c r="G9" s="10">
        <f t="shared" si="0"/>
        <v>10889.64</v>
      </c>
      <c r="H9" s="11">
        <f t="shared" si="0"/>
        <v>-211771.17000000004</v>
      </c>
      <c r="I9" s="11"/>
      <c r="J9" s="11">
        <f>I9+октябрь!J9</f>
        <v>815988.3999999999</v>
      </c>
      <c r="K9" s="10"/>
      <c r="L9" s="10">
        <f>K9+октябрь!L9</f>
        <v>255615.97000000003</v>
      </c>
    </row>
    <row r="10" spans="1:12" ht="15.75">
      <c r="A10" s="1">
        <f t="shared" si="1"/>
        <v>8</v>
      </c>
      <c r="B10" s="17" t="s">
        <v>22</v>
      </c>
      <c r="C10" s="10">
        <f>15624.2+23541.83</f>
        <v>39166.03</v>
      </c>
      <c r="D10" s="10">
        <f>C10+октябрь!D10</f>
        <v>433804.7200000001</v>
      </c>
      <c r="E10" s="11">
        <f>13473.5+16827.55</f>
        <v>30301.05</v>
      </c>
      <c r="F10" s="10">
        <f>E10+октябрь!F10</f>
        <v>320291.57</v>
      </c>
      <c r="G10" s="10">
        <f t="shared" si="0"/>
        <v>-8864.98</v>
      </c>
      <c r="H10" s="11">
        <f t="shared" si="0"/>
        <v>-113513.15000000008</v>
      </c>
      <c r="I10" s="11"/>
      <c r="J10" s="11">
        <f>I10+октябрь!J10</f>
        <v>207671.99000000002</v>
      </c>
      <c r="K10" s="10"/>
      <c r="L10" s="10">
        <f>K10+октябрь!L10</f>
        <v>133119.44999999998</v>
      </c>
    </row>
    <row r="11" spans="1:12" ht="15.75">
      <c r="A11" s="1">
        <f t="shared" si="1"/>
        <v>9</v>
      </c>
      <c r="B11" s="17" t="s">
        <v>23</v>
      </c>
      <c r="C11" s="10">
        <f>15624.2+23541.83</f>
        <v>39166.03</v>
      </c>
      <c r="D11" s="10">
        <f>C11+октябрь!D11</f>
        <v>433804.76</v>
      </c>
      <c r="E11" s="11">
        <f>13473.49+16827.54</f>
        <v>30301.03</v>
      </c>
      <c r="F11" s="10">
        <f>E11+октябрь!F11</f>
        <v>320291.63</v>
      </c>
      <c r="G11" s="10">
        <f t="shared" si="0"/>
        <v>-8865</v>
      </c>
      <c r="H11" s="11">
        <f t="shared" si="0"/>
        <v>-113513.13</v>
      </c>
      <c r="I11" s="11"/>
      <c r="J11" s="11">
        <f>I11+октябрь!J11</f>
        <v>207671.99000000002</v>
      </c>
      <c r="K11" s="10"/>
      <c r="L11" s="10">
        <f>K11+октябрь!L11</f>
        <v>133119.44999999998</v>
      </c>
    </row>
    <row r="12" spans="1:12" ht="15.75">
      <c r="A12" s="1">
        <f t="shared" si="1"/>
        <v>10</v>
      </c>
      <c r="B12" s="17" t="s">
        <v>24</v>
      </c>
      <c r="C12" s="10">
        <f>10649.61+16046.32</f>
        <v>26695.93</v>
      </c>
      <c r="D12" s="10">
        <f>C12+октябрь!D12</f>
        <v>292557.96</v>
      </c>
      <c r="E12" s="11">
        <f>9448.49+11744.77</f>
        <v>21193.260000000002</v>
      </c>
      <c r="F12" s="10">
        <f>E12+октябрь!F12</f>
        <v>236756.26</v>
      </c>
      <c r="G12" s="10">
        <f t="shared" si="0"/>
        <v>-5502.669999999998</v>
      </c>
      <c r="H12" s="11">
        <f t="shared" si="0"/>
        <v>-55801.70000000001</v>
      </c>
      <c r="I12" s="11"/>
      <c r="J12" s="11">
        <f>I12+октябрь!J12</f>
        <v>124928.1</v>
      </c>
      <c r="K12" s="10"/>
      <c r="L12" s="10">
        <f>K12+октябрь!L12</f>
        <v>83325.20999999999</v>
      </c>
    </row>
    <row r="13" spans="1:12" ht="15.75">
      <c r="A13" s="1">
        <f t="shared" si="1"/>
        <v>11</v>
      </c>
      <c r="B13" s="17" t="s">
        <v>25</v>
      </c>
      <c r="C13" s="10">
        <f>13207.44+17182.89</f>
        <v>30390.33</v>
      </c>
      <c r="D13" s="10">
        <f>C13+октябрь!D13</f>
        <v>357814.74000000005</v>
      </c>
      <c r="E13" s="11">
        <f>11771.72+14593.67</f>
        <v>26365.39</v>
      </c>
      <c r="F13" s="10">
        <f>E13+октябрь!F13</f>
        <v>292407.39</v>
      </c>
      <c r="G13" s="10">
        <f t="shared" si="0"/>
        <v>-4024.9400000000023</v>
      </c>
      <c r="H13" s="11">
        <f t="shared" si="0"/>
        <v>-65407.350000000035</v>
      </c>
      <c r="I13" s="11"/>
      <c r="J13" s="11">
        <f>I13+октябрь!J13</f>
        <v>0</v>
      </c>
      <c r="K13" s="10"/>
      <c r="L13" s="10">
        <f>K13+октябрь!L13</f>
        <v>0</v>
      </c>
    </row>
    <row r="14" spans="1:12" ht="15.75">
      <c r="A14" s="1">
        <f t="shared" si="1"/>
        <v>12</v>
      </c>
      <c r="B14" s="17" t="s">
        <v>26</v>
      </c>
      <c r="C14" s="10">
        <f>3067.88+3933.7</f>
        <v>7001.58</v>
      </c>
      <c r="D14" s="10">
        <f>C14+октябрь!D14</f>
        <v>81726.57</v>
      </c>
      <c r="E14" s="11">
        <f>2761.1+3156.22</f>
        <v>5917.32</v>
      </c>
      <c r="F14" s="10">
        <f>E14+октябрь!F14</f>
        <v>68247.58000000002</v>
      </c>
      <c r="G14" s="10">
        <f t="shared" si="0"/>
        <v>-1084.2600000000002</v>
      </c>
      <c r="H14" s="11">
        <f t="shared" si="0"/>
        <v>-13478.98999999999</v>
      </c>
      <c r="I14" s="11"/>
      <c r="J14" s="11">
        <f>I14+октябрь!J14</f>
        <v>0</v>
      </c>
      <c r="K14" s="10"/>
      <c r="L14" s="10">
        <f>K14+октябрь!L14</f>
        <v>0</v>
      </c>
    </row>
    <row r="15" spans="1:12" ht="15.75">
      <c r="A15" s="1">
        <f t="shared" si="1"/>
        <v>13</v>
      </c>
      <c r="B15" s="17" t="s">
        <v>27</v>
      </c>
      <c r="C15" s="10">
        <f>1247.95+1623.57</f>
        <v>2871.52</v>
      </c>
      <c r="D15" s="10">
        <f>C15+октябрь!D15</f>
        <v>32257.37</v>
      </c>
      <c r="E15" s="11">
        <f>1118.7+1412.98</f>
        <v>2531.6800000000003</v>
      </c>
      <c r="F15" s="10">
        <f>E15+октябрь!F15</f>
        <v>24836.049999999996</v>
      </c>
      <c r="G15" s="10">
        <f t="shared" si="0"/>
        <v>-339.8399999999997</v>
      </c>
      <c r="H15" s="11">
        <f t="shared" si="0"/>
        <v>-7421.320000000003</v>
      </c>
      <c r="I15" s="11"/>
      <c r="J15" s="11">
        <f>I15+октябрь!J15</f>
        <v>0</v>
      </c>
      <c r="K15" s="10"/>
      <c r="L15" s="10">
        <f>K15+октябрь!L15</f>
        <v>0</v>
      </c>
    </row>
    <row r="16" spans="1:12" ht="15.75">
      <c r="A16" s="1">
        <f t="shared" si="1"/>
        <v>14</v>
      </c>
      <c r="B16" s="17" t="s">
        <v>28</v>
      </c>
      <c r="C16" s="10"/>
      <c r="D16" s="10">
        <f>C16+октябрь!D16</f>
        <v>0</v>
      </c>
      <c r="E16" s="11"/>
      <c r="F16" s="10">
        <f>E16+октябрь!F16</f>
        <v>0</v>
      </c>
      <c r="G16" s="10">
        <f t="shared" si="0"/>
        <v>0</v>
      </c>
      <c r="H16" s="11">
        <f t="shared" si="0"/>
        <v>0</v>
      </c>
      <c r="I16" s="11"/>
      <c r="J16" s="11">
        <f>I16+октябрь!J16</f>
        <v>0</v>
      </c>
      <c r="K16" s="10"/>
      <c r="L16" s="10">
        <f>K16+октябрь!L16</f>
        <v>0</v>
      </c>
    </row>
    <row r="17" spans="1:12" ht="15.75">
      <c r="A17" s="1">
        <f t="shared" si="1"/>
        <v>15</v>
      </c>
      <c r="B17" s="17" t="s">
        <v>29</v>
      </c>
      <c r="C17" s="10"/>
      <c r="D17" s="10">
        <f>C17+октябрь!D17</f>
        <v>0</v>
      </c>
      <c r="E17" s="11"/>
      <c r="F17" s="10">
        <f>E17+октябрь!F17</f>
        <v>0</v>
      </c>
      <c r="G17" s="10">
        <f t="shared" si="0"/>
        <v>0</v>
      </c>
      <c r="H17" s="11">
        <f t="shared" si="0"/>
        <v>0</v>
      </c>
      <c r="I17" s="11"/>
      <c r="J17" s="11">
        <f>I17+октябрь!J17</f>
        <v>0</v>
      </c>
      <c r="K17" s="10"/>
      <c r="L17" s="10">
        <f>K17+октябрь!L17</f>
        <v>0</v>
      </c>
    </row>
    <row r="18" spans="1:12" ht="12.75">
      <c r="A18" s="1">
        <f t="shared" si="1"/>
        <v>16</v>
      </c>
      <c r="B18" s="8" t="s">
        <v>31</v>
      </c>
      <c r="C18" s="10"/>
      <c r="D18" s="10">
        <f>C18+октябрь!D18</f>
        <v>0</v>
      </c>
      <c r="E18" s="11"/>
      <c r="F18" s="10">
        <f>E18+октябрь!F18</f>
        <v>0</v>
      </c>
      <c r="G18" s="10">
        <f t="shared" si="0"/>
        <v>0</v>
      </c>
      <c r="H18" s="11">
        <f t="shared" si="0"/>
        <v>0</v>
      </c>
      <c r="I18" s="11"/>
      <c r="J18" s="11">
        <f>I18+октябрь!J18</f>
        <v>17556.63</v>
      </c>
      <c r="K18" s="10"/>
      <c r="L18" s="10">
        <f>K18+октябрь!L18</f>
        <v>17556.63</v>
      </c>
    </row>
    <row r="19" spans="1:12" ht="12.75">
      <c r="A19" s="1">
        <f t="shared" si="1"/>
        <v>17</v>
      </c>
      <c r="B19" s="13" t="s">
        <v>32</v>
      </c>
      <c r="C19" s="10"/>
      <c r="D19" s="10">
        <f>C19+октябрь!D19</f>
        <v>0</v>
      </c>
      <c r="E19" s="11"/>
      <c r="F19" s="10">
        <f>E19+октябрь!F19</f>
        <v>0</v>
      </c>
      <c r="G19" s="10">
        <f t="shared" si="0"/>
        <v>0</v>
      </c>
      <c r="H19" s="11">
        <f t="shared" si="0"/>
        <v>0</v>
      </c>
      <c r="I19" s="11"/>
      <c r="J19" s="11">
        <f>I19+октябрь!J19</f>
        <v>3278.88</v>
      </c>
      <c r="K19" s="10"/>
      <c r="L19" s="10">
        <f>K19+октябрь!L19</f>
        <v>3278.88</v>
      </c>
    </row>
    <row r="20" spans="1:12" ht="12.75">
      <c r="A20" s="1">
        <f t="shared" si="1"/>
        <v>18</v>
      </c>
      <c r="B20" s="13" t="s">
        <v>33</v>
      </c>
      <c r="C20" s="10"/>
      <c r="D20" s="10">
        <f>C20+октябрь!D20</f>
        <v>0</v>
      </c>
      <c r="E20" s="11"/>
      <c r="F20" s="10">
        <f>E20+октябрь!F20</f>
        <v>0</v>
      </c>
      <c r="G20" s="10">
        <f t="shared" si="0"/>
        <v>0</v>
      </c>
      <c r="H20" s="11">
        <f t="shared" si="0"/>
        <v>0</v>
      </c>
      <c r="I20" s="11"/>
      <c r="J20" s="11">
        <f>I20+октябрь!J20</f>
        <v>17500</v>
      </c>
      <c r="K20" s="10"/>
      <c r="L20" s="10">
        <f>K20+октябрь!L20</f>
        <v>15000</v>
      </c>
    </row>
    <row r="21" spans="1:12" ht="12.75">
      <c r="A21" s="1">
        <f t="shared" si="1"/>
        <v>19</v>
      </c>
      <c r="B21" s="19" t="s">
        <v>35</v>
      </c>
      <c r="C21" s="10">
        <v>2739.81</v>
      </c>
      <c r="D21" s="10">
        <f>C21+октябрь!D21</f>
        <v>9896.95</v>
      </c>
      <c r="E21" s="11">
        <v>2126.99</v>
      </c>
      <c r="F21" s="10">
        <f>E21+октябрь!F21</f>
        <v>6245.14</v>
      </c>
      <c r="G21" s="10">
        <f t="shared" si="0"/>
        <v>-612.8200000000002</v>
      </c>
      <c r="H21" s="11">
        <f t="shared" si="0"/>
        <v>-3651.8100000000004</v>
      </c>
      <c r="I21" s="11"/>
      <c r="J21" s="11">
        <f>I21+октябрь!J21</f>
        <v>0</v>
      </c>
      <c r="K21" s="10"/>
      <c r="L21" s="10">
        <f>K21+октябрь!L21</f>
        <v>0</v>
      </c>
    </row>
    <row r="22" spans="1:12" ht="12.75">
      <c r="A22" s="1">
        <f t="shared" si="1"/>
        <v>20</v>
      </c>
      <c r="B22" s="8"/>
      <c r="C22" s="10"/>
      <c r="D22" s="10">
        <f>C22+октябрь!D22</f>
        <v>0</v>
      </c>
      <c r="E22" s="11"/>
      <c r="F22" s="10">
        <f>E22+октябрь!F22</f>
        <v>0</v>
      </c>
      <c r="G22" s="10">
        <f t="shared" si="0"/>
        <v>0</v>
      </c>
      <c r="H22" s="11">
        <f t="shared" si="0"/>
        <v>0</v>
      </c>
      <c r="I22" s="11"/>
      <c r="J22" s="11">
        <f>I22+октябрь!J22</f>
        <v>0</v>
      </c>
      <c r="K22" s="10"/>
      <c r="L22" s="10">
        <f>K22+октябрь!L22</f>
        <v>0</v>
      </c>
    </row>
    <row r="23" spans="1:12" ht="12.75">
      <c r="A23" s="1"/>
      <c r="B23" s="8" t="s">
        <v>13</v>
      </c>
      <c r="C23" s="10">
        <f aca="true" t="shared" si="2" ref="C23:L23">SUM(C3:C22)</f>
        <v>486383.43000000005</v>
      </c>
      <c r="D23" s="10">
        <f t="shared" si="2"/>
        <v>6017918.15</v>
      </c>
      <c r="E23" s="11">
        <f t="shared" si="2"/>
        <v>415127.68000000005</v>
      </c>
      <c r="F23" s="10">
        <f t="shared" si="2"/>
        <v>4801257.009999999</v>
      </c>
      <c r="G23" s="10">
        <f t="shared" si="2"/>
        <v>-71255.75000000001</v>
      </c>
      <c r="H23" s="11">
        <f t="shared" si="2"/>
        <v>-1216661.1400000004</v>
      </c>
      <c r="I23" s="11">
        <f t="shared" si="2"/>
        <v>0</v>
      </c>
      <c r="J23" s="11">
        <f t="shared" si="2"/>
        <v>1706629.9799999997</v>
      </c>
      <c r="K23" s="10">
        <f t="shared" si="2"/>
        <v>0</v>
      </c>
      <c r="L23" s="10">
        <f t="shared" si="2"/>
        <v>942892.5099999999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3.7109375" style="0" customWidth="1"/>
    <col min="2" max="2" width="25.421875" style="0" customWidth="1"/>
    <col min="3" max="3" width="12.421875" style="0" customWidth="1"/>
    <col min="4" max="4" width="13.28125" style="0" customWidth="1"/>
    <col min="5" max="5" width="16.28125" style="0" customWidth="1"/>
    <col min="6" max="6" width="15.00390625" style="0" customWidth="1"/>
    <col min="7" max="7" width="12.28125" style="0" customWidth="1"/>
    <col min="8" max="8" width="17.7109375" style="0" customWidth="1"/>
    <col min="9" max="9" width="9.28125" style="0" hidden="1" customWidth="1"/>
    <col min="10" max="10" width="12.57421875" style="0" hidden="1" customWidth="1"/>
    <col min="11" max="11" width="9.28125" style="0" hidden="1" customWidth="1"/>
    <col min="12" max="12" width="11.140625" style="0" hidden="1" customWidth="1"/>
  </cols>
  <sheetData>
    <row r="1" ht="15">
      <c r="C1" s="21" t="s">
        <v>37</v>
      </c>
    </row>
    <row r="3" spans="1:12" ht="12.75">
      <c r="A3" s="1" t="s">
        <v>0</v>
      </c>
      <c r="B3" s="6" t="s">
        <v>1</v>
      </c>
      <c r="C3" s="5" t="s">
        <v>2</v>
      </c>
      <c r="D3" s="6" t="s">
        <v>3</v>
      </c>
      <c r="E3" s="7" t="s">
        <v>4</v>
      </c>
      <c r="F3" s="6" t="s">
        <v>5</v>
      </c>
      <c r="G3" s="6" t="s">
        <v>6</v>
      </c>
      <c r="H3" s="7" t="s">
        <v>7</v>
      </c>
      <c r="I3" s="7" t="s">
        <v>8</v>
      </c>
      <c r="J3" s="7" t="s">
        <v>9</v>
      </c>
      <c r="K3" s="6" t="s">
        <v>10</v>
      </c>
      <c r="L3" s="6" t="s">
        <v>11</v>
      </c>
    </row>
    <row r="4" spans="1:12" ht="15.75">
      <c r="A4" s="1">
        <v>1</v>
      </c>
      <c r="B4" s="17" t="s">
        <v>15</v>
      </c>
      <c r="C4" s="10">
        <f>22221.44+28389.21</f>
        <v>50610.649999999994</v>
      </c>
      <c r="D4" s="10">
        <f>C4+ноябрь!D3</f>
        <v>632663.35</v>
      </c>
      <c r="E4" s="11">
        <f>25857.75+30775.35</f>
        <v>56633.1</v>
      </c>
      <c r="F4" s="10">
        <f>E4+ноябрь!F3</f>
        <v>532331.5800000001</v>
      </c>
      <c r="G4" s="10">
        <f>E4-C4</f>
        <v>6022.450000000004</v>
      </c>
      <c r="H4" s="11">
        <f>F4-D4</f>
        <v>-100331.7699999999</v>
      </c>
      <c r="I4" s="11"/>
      <c r="J4" s="11">
        <f>I4+ноябрь!J3</f>
        <v>0</v>
      </c>
      <c r="K4" s="10"/>
      <c r="L4" s="10">
        <f>K4+ноябрь!L3</f>
        <v>0</v>
      </c>
    </row>
    <row r="5" spans="1:12" ht="15.75">
      <c r="A5" s="1">
        <f>A4+1</f>
        <v>2</v>
      </c>
      <c r="B5" s="17" t="s">
        <v>16</v>
      </c>
      <c r="C5" s="10">
        <f>52125.91+66593.92</f>
        <v>118719.83</v>
      </c>
      <c r="D5" s="10">
        <f>C5+ноябрь!D4</f>
        <v>1521194.94</v>
      </c>
      <c r="E5" s="11">
        <f>60826.31+72450.45</f>
        <v>133276.76</v>
      </c>
      <c r="F5" s="10">
        <f>E5+ноябрь!F4</f>
        <v>1280893.87</v>
      </c>
      <c r="G5" s="10">
        <f aca="true" t="shared" si="0" ref="G5:H23">E5-C5</f>
        <v>14556.930000000008</v>
      </c>
      <c r="H5" s="11">
        <f t="shared" si="0"/>
        <v>-240301.06999999983</v>
      </c>
      <c r="I5" s="11"/>
      <c r="J5" s="11">
        <f>I5+ноябрь!J4</f>
        <v>195587.56</v>
      </c>
      <c r="K5" s="10"/>
      <c r="L5" s="10">
        <f>K5+ноябрь!L4</f>
        <v>190580.11</v>
      </c>
    </row>
    <row r="6" spans="1:12" ht="15.75">
      <c r="A6" s="1">
        <f aca="true" t="shared" si="1" ref="A6:A23">A5+1</f>
        <v>3</v>
      </c>
      <c r="B6" s="17" t="s">
        <v>18</v>
      </c>
      <c r="C6" s="10">
        <f>42804.72+64063.44</f>
        <v>106868.16</v>
      </c>
      <c r="D6" s="10">
        <f>C6+ноябрь!D5</f>
        <v>1277836.4800000002</v>
      </c>
      <c r="E6" s="11">
        <f>47863.08+63563</f>
        <v>111426.08</v>
      </c>
      <c r="F6" s="10">
        <f>E6+ноябрь!F5</f>
        <v>1058702.04</v>
      </c>
      <c r="G6" s="10">
        <f t="shared" si="0"/>
        <v>4557.919999999998</v>
      </c>
      <c r="H6" s="11">
        <f t="shared" si="0"/>
        <v>-219134.44000000018</v>
      </c>
      <c r="I6" s="11"/>
      <c r="J6" s="11">
        <f>I6+ноябрь!J5</f>
        <v>116446.43000000001</v>
      </c>
      <c r="K6" s="10"/>
      <c r="L6" s="10">
        <f>K6+ноябрь!L5</f>
        <v>111296.81</v>
      </c>
    </row>
    <row r="7" spans="1:12" ht="15.75">
      <c r="A7" s="1">
        <f t="shared" si="1"/>
        <v>4</v>
      </c>
      <c r="B7" s="17" t="s">
        <v>19</v>
      </c>
      <c r="C7" s="10">
        <f>5897.42+8826.34</f>
        <v>14723.76</v>
      </c>
      <c r="D7" s="10">
        <f>C7+ноябрь!D6</f>
        <v>172748.28999999998</v>
      </c>
      <c r="E7" s="11">
        <f>6585.04+8751.65</f>
        <v>15336.689999999999</v>
      </c>
      <c r="F7" s="10">
        <f>E7+ноябрь!F6</f>
        <v>142783.43999999997</v>
      </c>
      <c r="G7" s="10">
        <f t="shared" si="0"/>
        <v>612.9299999999985</v>
      </c>
      <c r="H7" s="11">
        <f t="shared" si="0"/>
        <v>-29964.850000000006</v>
      </c>
      <c r="I7" s="11"/>
      <c r="J7" s="11">
        <f>I7+ноябрь!J6</f>
        <v>0</v>
      </c>
      <c r="K7" s="10"/>
      <c r="L7" s="10">
        <f>K7+ноябрь!L6</f>
        <v>0</v>
      </c>
    </row>
    <row r="8" spans="1:12" ht="15.75">
      <c r="A8" s="1">
        <f t="shared" si="1"/>
        <v>5</v>
      </c>
      <c r="B8" s="18" t="s">
        <v>20</v>
      </c>
      <c r="C8" s="10">
        <f>3388.39+4328.89</f>
        <v>7717.280000000001</v>
      </c>
      <c r="D8" s="10">
        <f>C8+ноябрь!D7</f>
        <v>99672.35999999999</v>
      </c>
      <c r="E8" s="11">
        <f>3958.06+4706.49</f>
        <v>8664.55</v>
      </c>
      <c r="F8" s="10">
        <f>E8+ноябрь!F7</f>
        <v>83999.47</v>
      </c>
      <c r="G8" s="10">
        <f t="shared" si="0"/>
        <v>947.2699999999986</v>
      </c>
      <c r="H8" s="11">
        <f t="shared" si="0"/>
        <v>-15672.889999999985</v>
      </c>
      <c r="I8" s="11"/>
      <c r="J8" s="11">
        <f>I8+ноябрь!J7</f>
        <v>0</v>
      </c>
      <c r="K8" s="10"/>
      <c r="L8" s="10">
        <f>K8+ноябрь!L7</f>
        <v>0</v>
      </c>
    </row>
    <row r="9" spans="1:12" ht="15.75">
      <c r="A9" s="1">
        <f t="shared" si="1"/>
        <v>6</v>
      </c>
      <c r="B9" s="17" t="s">
        <v>30</v>
      </c>
      <c r="C9" s="10"/>
      <c r="D9" s="10">
        <f>C9+ноябрь!D8</f>
        <v>0</v>
      </c>
      <c r="E9" s="11"/>
      <c r="F9" s="10">
        <f>E9+ноябрь!F8</f>
        <v>0</v>
      </c>
      <c r="G9" s="10">
        <f t="shared" si="0"/>
        <v>0</v>
      </c>
      <c r="H9" s="11">
        <f t="shared" si="0"/>
        <v>0</v>
      </c>
      <c r="I9" s="11"/>
      <c r="J9" s="11">
        <f>I9+ноябрь!J8</f>
        <v>0</v>
      </c>
      <c r="K9" s="10"/>
      <c r="L9" s="10">
        <f>K9+ноябрь!L8</f>
        <v>0</v>
      </c>
    </row>
    <row r="10" spans="1:12" ht="15.75">
      <c r="A10" s="1">
        <f t="shared" si="1"/>
        <v>7</v>
      </c>
      <c r="B10" s="17" t="s">
        <v>21</v>
      </c>
      <c r="C10" s="10">
        <f>20145.07+29750.72</f>
        <v>49895.79</v>
      </c>
      <c r="D10" s="10">
        <f>C10+ноябрь!D9</f>
        <v>1020475.1300000001</v>
      </c>
      <c r="E10" s="11">
        <f>23152.27+31662.07</f>
        <v>54814.34</v>
      </c>
      <c r="F10" s="10">
        <f>E10+ноябрь!F9</f>
        <v>813622.51</v>
      </c>
      <c r="G10" s="10">
        <f t="shared" si="0"/>
        <v>4918.549999999996</v>
      </c>
      <c r="H10" s="11">
        <f t="shared" si="0"/>
        <v>-206852.6200000001</v>
      </c>
      <c r="I10" s="11"/>
      <c r="J10" s="11">
        <f>I10+ноябрь!J9</f>
        <v>815988.3999999999</v>
      </c>
      <c r="K10" s="10"/>
      <c r="L10" s="10">
        <f>K10+ноябрь!L9</f>
        <v>255615.97000000003</v>
      </c>
    </row>
    <row r="11" spans="1:12" ht="15.75">
      <c r="A11" s="1">
        <f t="shared" si="1"/>
        <v>8</v>
      </c>
      <c r="B11" s="17" t="s">
        <v>22</v>
      </c>
      <c r="C11" s="10">
        <f>15729.77+23541.82</f>
        <v>39271.59</v>
      </c>
      <c r="D11" s="10">
        <f>C11+ноябрь!D10</f>
        <v>473076.31000000006</v>
      </c>
      <c r="E11" s="11">
        <f>17709.29+22331.86</f>
        <v>40041.15</v>
      </c>
      <c r="F11" s="10">
        <f>E11+ноябрь!F10</f>
        <v>360332.72000000003</v>
      </c>
      <c r="G11" s="10">
        <f t="shared" si="0"/>
        <v>769.560000000005</v>
      </c>
      <c r="H11" s="11">
        <f t="shared" si="0"/>
        <v>-112743.59000000003</v>
      </c>
      <c r="I11" s="11"/>
      <c r="J11" s="11">
        <f>I11+ноябрь!J10</f>
        <v>207671.99000000002</v>
      </c>
      <c r="K11" s="10"/>
      <c r="L11" s="10">
        <f>K11+ноябрь!L10</f>
        <v>133119.44999999998</v>
      </c>
    </row>
    <row r="12" spans="1:12" ht="15.75">
      <c r="A12" s="1">
        <f t="shared" si="1"/>
        <v>9</v>
      </c>
      <c r="B12" s="17" t="s">
        <v>23</v>
      </c>
      <c r="C12" s="10">
        <f>15729.78+23541.82</f>
        <v>39271.6</v>
      </c>
      <c r="D12" s="10">
        <f>C12+ноябрь!D11</f>
        <v>473076.36</v>
      </c>
      <c r="E12" s="11">
        <f>17709.28+22331.86</f>
        <v>40041.14</v>
      </c>
      <c r="F12" s="10">
        <f>E12+ноябрь!F11</f>
        <v>360332.77</v>
      </c>
      <c r="G12" s="10">
        <f t="shared" si="0"/>
        <v>769.5400000000009</v>
      </c>
      <c r="H12" s="11">
        <f t="shared" si="0"/>
        <v>-112743.58999999997</v>
      </c>
      <c r="I12" s="11"/>
      <c r="J12" s="11">
        <f>I12+ноябрь!J11</f>
        <v>207671.99000000002</v>
      </c>
      <c r="K12" s="10"/>
      <c r="L12" s="10">
        <f>K12+ноябрь!L11</f>
        <v>133119.44999999998</v>
      </c>
    </row>
    <row r="13" spans="1:12" ht="15.75">
      <c r="A13" s="1">
        <f t="shared" si="1"/>
        <v>10</v>
      </c>
      <c r="B13" s="17" t="s">
        <v>24</v>
      </c>
      <c r="C13" s="10">
        <f>10721.57+16046.32</f>
        <v>26767.89</v>
      </c>
      <c r="D13" s="10">
        <f>C13+ноябрь!D12</f>
        <v>319325.85000000003</v>
      </c>
      <c r="E13" s="11">
        <f>11987.32+15925.37</f>
        <v>27912.690000000002</v>
      </c>
      <c r="F13" s="10">
        <f>E13+ноябрь!F12</f>
        <v>264668.95</v>
      </c>
      <c r="G13" s="10">
        <f t="shared" si="0"/>
        <v>1144.800000000003</v>
      </c>
      <c r="H13" s="11">
        <f t="shared" si="0"/>
        <v>-54656.90000000002</v>
      </c>
      <c r="I13" s="11"/>
      <c r="J13" s="11">
        <f>I13+ноябрь!J12</f>
        <v>124928.1</v>
      </c>
      <c r="K13" s="10"/>
      <c r="L13" s="10">
        <f>K13+ноябрь!L12</f>
        <v>83325.20999999999</v>
      </c>
    </row>
    <row r="14" spans="1:12" ht="15.75">
      <c r="A14" s="1">
        <f t="shared" si="1"/>
        <v>11</v>
      </c>
      <c r="B14" s="17" t="s">
        <v>25</v>
      </c>
      <c r="C14" s="10">
        <f>13343.43+17046.95</f>
        <v>30390.38</v>
      </c>
      <c r="D14" s="10">
        <f>C14+ноябрь!D13</f>
        <v>388205.12000000005</v>
      </c>
      <c r="E14" s="11">
        <f>15529.09+18509.38</f>
        <v>34038.47</v>
      </c>
      <c r="F14" s="10">
        <f>E14+ноябрь!F13</f>
        <v>326445.86</v>
      </c>
      <c r="G14" s="10">
        <f t="shared" si="0"/>
        <v>3648.09</v>
      </c>
      <c r="H14" s="11">
        <f t="shared" si="0"/>
        <v>-61759.26000000007</v>
      </c>
      <c r="I14" s="11"/>
      <c r="J14" s="11">
        <f>I14+ноябрь!J13</f>
        <v>0</v>
      </c>
      <c r="K14" s="10"/>
      <c r="L14" s="10">
        <f>K14+ноябрь!L13</f>
        <v>0</v>
      </c>
    </row>
    <row r="15" spans="1:12" ht="15.75">
      <c r="A15" s="1">
        <f t="shared" si="1"/>
        <v>12</v>
      </c>
      <c r="B15" s="17" t="s">
        <v>26</v>
      </c>
      <c r="C15" s="10">
        <f>3099.48+2718.13</f>
        <v>5817.610000000001</v>
      </c>
      <c r="D15" s="10">
        <f>C15+ноябрь!D14</f>
        <v>87544.18000000001</v>
      </c>
      <c r="E15" s="11">
        <f>3620.56+2837.87</f>
        <v>6458.43</v>
      </c>
      <c r="F15" s="10">
        <f>E15+ноябрь!F14</f>
        <v>74706.01000000001</v>
      </c>
      <c r="G15" s="10">
        <f t="shared" si="0"/>
        <v>640.8199999999997</v>
      </c>
      <c r="H15" s="11">
        <f t="shared" si="0"/>
        <v>-12838.169999999998</v>
      </c>
      <c r="I15" s="11"/>
      <c r="J15" s="11">
        <f>I15+ноябрь!J14</f>
        <v>0</v>
      </c>
      <c r="K15" s="10"/>
      <c r="L15" s="10">
        <f>K15+ноябрь!L14</f>
        <v>0</v>
      </c>
    </row>
    <row r="16" spans="1:12" ht="15.75">
      <c r="A16" s="1">
        <f t="shared" si="1"/>
        <v>13</v>
      </c>
      <c r="B16" s="17" t="s">
        <v>27</v>
      </c>
      <c r="C16" s="10">
        <f>1260.79+1610.73</f>
        <v>2871.52</v>
      </c>
      <c r="D16" s="10">
        <f>C16+ноябрь!D15</f>
        <v>35128.89</v>
      </c>
      <c r="E16" s="11">
        <f>1478.37+1734.75</f>
        <v>3213.12</v>
      </c>
      <c r="F16" s="10">
        <f>E16+ноябрь!F15</f>
        <v>28049.169999999995</v>
      </c>
      <c r="G16" s="10">
        <f t="shared" si="0"/>
        <v>341.5999999999999</v>
      </c>
      <c r="H16" s="11">
        <f t="shared" si="0"/>
        <v>-7079.720000000005</v>
      </c>
      <c r="I16" s="11"/>
      <c r="J16" s="11">
        <f>I16+ноябрь!J15</f>
        <v>0</v>
      </c>
      <c r="K16" s="10"/>
      <c r="L16" s="10">
        <f>K16+ноябрь!L15</f>
        <v>0</v>
      </c>
    </row>
    <row r="17" spans="1:12" ht="15.75">
      <c r="A17" s="1">
        <f t="shared" si="1"/>
        <v>14</v>
      </c>
      <c r="B17" s="17" t="s">
        <v>28</v>
      </c>
      <c r="C17" s="10"/>
      <c r="D17" s="10">
        <f>C17+ноябрь!D16</f>
        <v>0</v>
      </c>
      <c r="E17" s="11"/>
      <c r="F17" s="10">
        <f>E17+ноябрь!F16</f>
        <v>0</v>
      </c>
      <c r="G17" s="10">
        <f t="shared" si="0"/>
        <v>0</v>
      </c>
      <c r="H17" s="11">
        <f t="shared" si="0"/>
        <v>0</v>
      </c>
      <c r="I17" s="11"/>
      <c r="J17" s="11">
        <f>I17+ноябрь!J16</f>
        <v>0</v>
      </c>
      <c r="K17" s="10"/>
      <c r="L17" s="10">
        <f>K17+ноябрь!L16</f>
        <v>0</v>
      </c>
    </row>
    <row r="18" spans="1:12" ht="15.75">
      <c r="A18" s="1">
        <f t="shared" si="1"/>
        <v>15</v>
      </c>
      <c r="B18" s="17" t="s">
        <v>29</v>
      </c>
      <c r="C18" s="10"/>
      <c r="D18" s="10">
        <f>C18+ноябрь!D17</f>
        <v>0</v>
      </c>
      <c r="E18" s="11"/>
      <c r="F18" s="10">
        <f>E18+ноябрь!F17</f>
        <v>0</v>
      </c>
      <c r="G18" s="10">
        <f t="shared" si="0"/>
        <v>0</v>
      </c>
      <c r="H18" s="11">
        <f t="shared" si="0"/>
        <v>0</v>
      </c>
      <c r="I18" s="11"/>
      <c r="J18" s="11">
        <f>I18+ноябрь!J17</f>
        <v>0</v>
      </c>
      <c r="K18" s="10"/>
      <c r="L18" s="10">
        <f>K18+ноябрь!L17</f>
        <v>0</v>
      </c>
    </row>
    <row r="19" spans="1:12" ht="12.75">
      <c r="A19" s="1">
        <f t="shared" si="1"/>
        <v>16</v>
      </c>
      <c r="B19" s="8" t="s">
        <v>31</v>
      </c>
      <c r="C19" s="10"/>
      <c r="D19" s="10">
        <f>C19+ноябрь!D18</f>
        <v>0</v>
      </c>
      <c r="E19" s="11"/>
      <c r="F19" s="10">
        <f>E19+ноябрь!F18</f>
        <v>0</v>
      </c>
      <c r="G19" s="10">
        <f t="shared" si="0"/>
        <v>0</v>
      </c>
      <c r="H19" s="11">
        <f t="shared" si="0"/>
        <v>0</v>
      </c>
      <c r="I19" s="11"/>
      <c r="J19" s="11">
        <f>I19+ноябрь!J18</f>
        <v>17556.63</v>
      </c>
      <c r="K19" s="10"/>
      <c r="L19" s="10">
        <f>K19+ноябрь!L18</f>
        <v>17556.63</v>
      </c>
    </row>
    <row r="20" spans="1:12" ht="12.75">
      <c r="A20" s="1">
        <f t="shared" si="1"/>
        <v>17</v>
      </c>
      <c r="B20" s="13" t="s">
        <v>32</v>
      </c>
      <c r="C20" s="10"/>
      <c r="D20" s="10">
        <f>C20+ноябрь!D19</f>
        <v>0</v>
      </c>
      <c r="E20" s="11"/>
      <c r="F20" s="10">
        <f>E20+ноябрь!F19</f>
        <v>0</v>
      </c>
      <c r="G20" s="10">
        <f t="shared" si="0"/>
        <v>0</v>
      </c>
      <c r="H20" s="11">
        <f t="shared" si="0"/>
        <v>0</v>
      </c>
      <c r="I20" s="11"/>
      <c r="J20" s="11">
        <f>I20+ноябрь!J19</f>
        <v>3278.88</v>
      </c>
      <c r="K20" s="10"/>
      <c r="L20" s="10">
        <f>K20+ноябрь!L19</f>
        <v>3278.88</v>
      </c>
    </row>
    <row r="21" spans="1:12" ht="12.75">
      <c r="A21" s="1">
        <f t="shared" si="1"/>
        <v>18</v>
      </c>
      <c r="B21" s="13" t="s">
        <v>33</v>
      </c>
      <c r="C21" s="10"/>
      <c r="D21" s="10">
        <f>C21+ноябрь!D20</f>
        <v>0</v>
      </c>
      <c r="E21" s="11"/>
      <c r="F21" s="10">
        <f>E21+ноябрь!F20</f>
        <v>0</v>
      </c>
      <c r="G21" s="10">
        <f t="shared" si="0"/>
        <v>0</v>
      </c>
      <c r="H21" s="11">
        <f t="shared" si="0"/>
        <v>0</v>
      </c>
      <c r="I21" s="11"/>
      <c r="J21" s="11">
        <f>I21+ноябрь!J20</f>
        <v>17500</v>
      </c>
      <c r="K21" s="10"/>
      <c r="L21" s="10">
        <f>K21+ноябрь!L20</f>
        <v>15000</v>
      </c>
    </row>
    <row r="22" spans="1:12" ht="12.75">
      <c r="A22" s="1">
        <f t="shared" si="1"/>
        <v>19</v>
      </c>
      <c r="B22" s="19" t="s">
        <v>35</v>
      </c>
      <c r="C22" s="10">
        <v>2718.13</v>
      </c>
      <c r="D22" s="10">
        <f>C22+ноябрь!D21</f>
        <v>12615.080000000002</v>
      </c>
      <c r="E22" s="11">
        <v>2837.87</v>
      </c>
      <c r="F22" s="10">
        <f>E22+ноябрь!F21</f>
        <v>9083.01</v>
      </c>
      <c r="G22" s="10">
        <f t="shared" si="0"/>
        <v>119.73999999999978</v>
      </c>
      <c r="H22" s="11">
        <f t="shared" si="0"/>
        <v>-3532.0700000000015</v>
      </c>
      <c r="I22" s="11"/>
      <c r="J22" s="11">
        <f>I22+ноябрь!J21</f>
        <v>0</v>
      </c>
      <c r="K22" s="10"/>
      <c r="L22" s="10">
        <f>K22+ноябрь!L21</f>
        <v>0</v>
      </c>
    </row>
    <row r="23" spans="1:12" ht="12.75">
      <c r="A23" s="1">
        <f t="shared" si="1"/>
        <v>20</v>
      </c>
      <c r="B23" s="8"/>
      <c r="C23" s="10"/>
      <c r="D23" s="10">
        <f>C23+ноябрь!D22</f>
        <v>0</v>
      </c>
      <c r="E23" s="11"/>
      <c r="F23" s="10">
        <f>E23+ноябрь!F22</f>
        <v>0</v>
      </c>
      <c r="G23" s="10">
        <f t="shared" si="0"/>
        <v>0</v>
      </c>
      <c r="H23" s="11">
        <f t="shared" si="0"/>
        <v>0</v>
      </c>
      <c r="I23" s="11"/>
      <c r="J23" s="11">
        <f>I23+ноябрь!J22</f>
        <v>0</v>
      </c>
      <c r="K23" s="10"/>
      <c r="L23" s="10">
        <f>K23+Декабрь10!L23</f>
        <v>0</v>
      </c>
    </row>
    <row r="24" spans="1:12" ht="12.75">
      <c r="A24" s="1"/>
      <c r="B24" s="8" t="s">
        <v>13</v>
      </c>
      <c r="C24" s="10">
        <f aca="true" t="shared" si="2" ref="C24:L24">SUM(C4:C23)</f>
        <v>495644.19000000006</v>
      </c>
      <c r="D24" s="10">
        <f t="shared" si="2"/>
        <v>6513562.340000001</v>
      </c>
      <c r="E24" s="11">
        <f t="shared" si="2"/>
        <v>534694.3900000001</v>
      </c>
      <c r="F24" s="10">
        <f t="shared" si="2"/>
        <v>5335951.4</v>
      </c>
      <c r="G24" s="10">
        <f t="shared" si="2"/>
        <v>39050.200000000004</v>
      </c>
      <c r="H24" s="11">
        <f t="shared" si="2"/>
        <v>-1177610.94</v>
      </c>
      <c r="I24" s="11">
        <f t="shared" si="2"/>
        <v>0</v>
      </c>
      <c r="J24" s="11">
        <f t="shared" si="2"/>
        <v>1706629.9799999997</v>
      </c>
      <c r="K24" s="10">
        <f t="shared" si="2"/>
        <v>0</v>
      </c>
      <c r="L24" s="10">
        <f t="shared" si="2"/>
        <v>942892.5099999999</v>
      </c>
    </row>
    <row r="26" ht="15.75">
      <c r="B26" s="20" t="s">
        <v>36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L24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.140625" style="0" customWidth="1"/>
    <col min="2" max="2" width="21.00390625" style="0" customWidth="1"/>
  </cols>
  <sheetData>
    <row r="3" spans="1:12" ht="12.75">
      <c r="A3" s="1" t="s">
        <v>0</v>
      </c>
      <c r="B3" s="6" t="s">
        <v>1</v>
      </c>
      <c r="C3" s="5" t="s">
        <v>2</v>
      </c>
      <c r="D3" s="6" t="s">
        <v>3</v>
      </c>
      <c r="E3" s="7" t="s">
        <v>4</v>
      </c>
      <c r="F3" s="6" t="s">
        <v>5</v>
      </c>
      <c r="G3" s="6" t="s">
        <v>6</v>
      </c>
      <c r="H3" s="7" t="s">
        <v>7</v>
      </c>
      <c r="I3" s="7" t="s">
        <v>8</v>
      </c>
      <c r="J3" s="7" t="s">
        <v>9</v>
      </c>
      <c r="K3" s="6" t="s">
        <v>10</v>
      </c>
      <c r="L3" s="6" t="s">
        <v>11</v>
      </c>
    </row>
    <row r="4" spans="1:12" ht="12.75">
      <c r="A4" s="1">
        <v>1</v>
      </c>
      <c r="B4" s="8" t="s">
        <v>17</v>
      </c>
      <c r="C4" s="3">
        <f>37433.35+20303.28</f>
        <v>57736.63</v>
      </c>
      <c r="D4" s="3">
        <f>Декабрь10!D5+Январь!C4</f>
        <v>222140.72999999998</v>
      </c>
      <c r="E4" s="2">
        <f>25078.04+5600.74</f>
        <v>30678.78</v>
      </c>
      <c r="F4" s="3">
        <f>Декабрь10!E5+Январь!E4</f>
        <v>101079.48000000001</v>
      </c>
      <c r="G4" s="3">
        <f>E4-C4</f>
        <v>-27057.85</v>
      </c>
      <c r="H4" s="2">
        <f>F4-D4</f>
        <v>-121061.24999999997</v>
      </c>
      <c r="I4" s="2"/>
      <c r="J4" s="2">
        <f>Декабрь10!J5+Январь!I4</f>
        <v>170499.28</v>
      </c>
      <c r="K4" s="3"/>
      <c r="L4" s="3">
        <f>K4+Декабрь10!L5</f>
        <v>0</v>
      </c>
    </row>
    <row r="5" spans="1:12" ht="12.75">
      <c r="A5" s="1">
        <f>A4+1</f>
        <v>2</v>
      </c>
      <c r="B5" s="8"/>
      <c r="C5" s="3"/>
      <c r="D5" s="3"/>
      <c r="E5" s="2"/>
      <c r="F5" s="3"/>
      <c r="G5" s="3"/>
      <c r="H5" s="2"/>
      <c r="I5" s="2"/>
      <c r="J5" s="2"/>
      <c r="K5" s="3"/>
      <c r="L5" s="3"/>
    </row>
    <row r="6" spans="1:12" ht="12.75">
      <c r="A6" s="1">
        <f aca="true" t="shared" si="0" ref="A6:A23">A5+1</f>
        <v>3</v>
      </c>
      <c r="B6" s="8"/>
      <c r="C6" s="3"/>
      <c r="D6" s="3"/>
      <c r="E6" s="2"/>
      <c r="F6" s="3"/>
      <c r="G6" s="3"/>
      <c r="H6" s="2"/>
      <c r="I6" s="2"/>
      <c r="J6" s="2"/>
      <c r="K6" s="3"/>
      <c r="L6" s="3"/>
    </row>
    <row r="7" spans="1:12" ht="12.75">
      <c r="A7" s="1">
        <f t="shared" si="0"/>
        <v>4</v>
      </c>
      <c r="B7" s="8"/>
      <c r="C7" s="3"/>
      <c r="D7" s="3"/>
      <c r="E7" s="2"/>
      <c r="F7" s="3"/>
      <c r="G7" s="3"/>
      <c r="H7" s="2"/>
      <c r="I7" s="2"/>
      <c r="J7" s="2"/>
      <c r="K7" s="3"/>
      <c r="L7" s="3"/>
    </row>
    <row r="8" spans="1:12" ht="12.75">
      <c r="A8" s="1">
        <f t="shared" si="0"/>
        <v>5</v>
      </c>
      <c r="B8" s="8"/>
      <c r="C8" s="3"/>
      <c r="D8" s="3"/>
      <c r="E8" s="2"/>
      <c r="F8" s="3"/>
      <c r="G8" s="3"/>
      <c r="H8" s="2"/>
      <c r="I8" s="2"/>
      <c r="J8" s="2"/>
      <c r="K8" s="3"/>
      <c r="L8" s="3"/>
    </row>
    <row r="9" spans="1:12" ht="12.75">
      <c r="A9" s="1">
        <f t="shared" si="0"/>
        <v>6</v>
      </c>
      <c r="B9" s="8"/>
      <c r="C9" s="3"/>
      <c r="D9" s="3"/>
      <c r="E9" s="2"/>
      <c r="F9" s="3"/>
      <c r="G9" s="3"/>
      <c r="H9" s="2"/>
      <c r="I9" s="2"/>
      <c r="J9" s="2"/>
      <c r="K9" s="3"/>
      <c r="L9" s="3"/>
    </row>
    <row r="10" spans="1:12" ht="12.75">
      <c r="A10" s="1">
        <f t="shared" si="0"/>
        <v>7</v>
      </c>
      <c r="B10" s="8"/>
      <c r="C10" s="3"/>
      <c r="D10" s="3"/>
      <c r="E10" s="2"/>
      <c r="F10" s="3"/>
      <c r="G10" s="3"/>
      <c r="H10" s="2"/>
      <c r="I10" s="2"/>
      <c r="J10" s="2"/>
      <c r="K10" s="3"/>
      <c r="L10" s="3"/>
    </row>
    <row r="11" spans="1:12" ht="12.75">
      <c r="A11" s="1">
        <f t="shared" si="0"/>
        <v>8</v>
      </c>
      <c r="B11" s="8"/>
      <c r="C11" s="3"/>
      <c r="D11" s="3"/>
      <c r="E11" s="2"/>
      <c r="F11" s="3"/>
      <c r="G11" s="3"/>
      <c r="H11" s="2"/>
      <c r="I11" s="2"/>
      <c r="J11" s="2"/>
      <c r="K11" s="3"/>
      <c r="L11" s="3"/>
    </row>
    <row r="12" spans="1:12" ht="12.75">
      <c r="A12" s="1">
        <f t="shared" si="0"/>
        <v>9</v>
      </c>
      <c r="B12" s="8"/>
      <c r="C12" s="3"/>
      <c r="D12" s="3"/>
      <c r="E12" s="2"/>
      <c r="F12" s="3"/>
      <c r="G12" s="3"/>
      <c r="H12" s="2"/>
      <c r="I12" s="2"/>
      <c r="J12" s="2"/>
      <c r="K12" s="3"/>
      <c r="L12" s="3"/>
    </row>
    <row r="13" spans="1:12" ht="12.75">
      <c r="A13" s="1">
        <f t="shared" si="0"/>
        <v>10</v>
      </c>
      <c r="B13" s="8"/>
      <c r="C13" s="3"/>
      <c r="D13" s="3"/>
      <c r="E13" s="2"/>
      <c r="F13" s="3"/>
      <c r="G13" s="3"/>
      <c r="H13" s="2"/>
      <c r="I13" s="2"/>
      <c r="J13" s="2"/>
      <c r="K13" s="3"/>
      <c r="L13" s="3"/>
    </row>
    <row r="14" spans="1:12" ht="12.75">
      <c r="A14" s="1">
        <f t="shared" si="0"/>
        <v>11</v>
      </c>
      <c r="B14" s="8"/>
      <c r="C14" s="3"/>
      <c r="D14" s="3"/>
      <c r="E14" s="2"/>
      <c r="F14" s="3"/>
      <c r="G14" s="3"/>
      <c r="H14" s="2"/>
      <c r="I14" s="2"/>
      <c r="J14" s="2"/>
      <c r="K14" s="3"/>
      <c r="L14" s="3"/>
    </row>
    <row r="15" spans="1:12" ht="12.75">
      <c r="A15" s="1">
        <f t="shared" si="0"/>
        <v>12</v>
      </c>
      <c r="B15" s="8"/>
      <c r="C15" s="3"/>
      <c r="D15" s="3"/>
      <c r="E15" s="2"/>
      <c r="F15" s="3"/>
      <c r="G15" s="3"/>
      <c r="H15" s="2"/>
      <c r="I15" s="2"/>
      <c r="J15" s="2"/>
      <c r="K15" s="3"/>
      <c r="L15" s="3"/>
    </row>
    <row r="16" spans="1:12" ht="12.75">
      <c r="A16" s="1">
        <f t="shared" si="0"/>
        <v>13</v>
      </c>
      <c r="B16" s="8"/>
      <c r="C16" s="3"/>
      <c r="D16" s="3"/>
      <c r="E16" s="2"/>
      <c r="F16" s="3"/>
      <c r="G16" s="3"/>
      <c r="H16" s="2"/>
      <c r="I16" s="2"/>
      <c r="J16" s="2"/>
      <c r="K16" s="3"/>
      <c r="L16" s="3"/>
    </row>
    <row r="17" spans="1:12" ht="12.75">
      <c r="A17" s="1">
        <f t="shared" si="0"/>
        <v>14</v>
      </c>
      <c r="B17" s="8"/>
      <c r="C17" s="3"/>
      <c r="D17" s="3"/>
      <c r="E17" s="2"/>
      <c r="F17" s="3"/>
      <c r="G17" s="3"/>
      <c r="H17" s="2"/>
      <c r="I17" s="2"/>
      <c r="J17" s="2"/>
      <c r="K17" s="3"/>
      <c r="L17" s="3"/>
    </row>
    <row r="18" spans="1:12" ht="12.75">
      <c r="A18" s="1">
        <f t="shared" si="0"/>
        <v>15</v>
      </c>
      <c r="B18" s="8"/>
      <c r="C18" s="3"/>
      <c r="D18" s="3"/>
      <c r="E18" s="2"/>
      <c r="F18" s="3"/>
      <c r="G18" s="3"/>
      <c r="H18" s="2"/>
      <c r="I18" s="2"/>
      <c r="J18" s="2"/>
      <c r="K18" s="3"/>
      <c r="L18" s="3"/>
    </row>
    <row r="19" spans="1:12" ht="12.75">
      <c r="A19" s="1">
        <f t="shared" si="0"/>
        <v>16</v>
      </c>
      <c r="B19" s="8"/>
      <c r="C19" s="3"/>
      <c r="D19" s="3"/>
      <c r="E19" s="2"/>
      <c r="F19" s="3"/>
      <c r="G19" s="3"/>
      <c r="H19" s="2"/>
      <c r="I19" s="2"/>
      <c r="J19" s="2"/>
      <c r="K19" s="3"/>
      <c r="L19" s="3"/>
    </row>
    <row r="20" spans="1:12" ht="12.75">
      <c r="A20" s="1">
        <f t="shared" si="0"/>
        <v>17</v>
      </c>
      <c r="B20" s="8"/>
      <c r="C20" s="3"/>
      <c r="D20" s="3"/>
      <c r="E20" s="2"/>
      <c r="F20" s="3"/>
      <c r="G20" s="3"/>
      <c r="H20" s="2"/>
      <c r="I20" s="2"/>
      <c r="J20" s="2"/>
      <c r="K20" s="3"/>
      <c r="L20" s="3"/>
    </row>
    <row r="21" spans="1:12" ht="12.75">
      <c r="A21" s="1">
        <f t="shared" si="0"/>
        <v>18</v>
      </c>
      <c r="B21" s="8"/>
      <c r="C21" s="3"/>
      <c r="D21" s="3"/>
      <c r="E21" s="2"/>
      <c r="F21" s="3"/>
      <c r="G21" s="3"/>
      <c r="H21" s="2"/>
      <c r="I21" s="2"/>
      <c r="J21" s="2"/>
      <c r="K21" s="3"/>
      <c r="L21" s="3"/>
    </row>
    <row r="22" spans="1:12" ht="12.75">
      <c r="A22" s="1">
        <f t="shared" si="0"/>
        <v>19</v>
      </c>
      <c r="B22" s="8"/>
      <c r="C22" s="3"/>
      <c r="D22" s="3"/>
      <c r="E22" s="2"/>
      <c r="F22" s="3"/>
      <c r="G22" s="3"/>
      <c r="H22" s="2"/>
      <c r="I22" s="2"/>
      <c r="J22" s="2"/>
      <c r="K22" s="3"/>
      <c r="L22" s="3"/>
    </row>
    <row r="23" spans="1:12" ht="12.75">
      <c r="A23" s="1">
        <f t="shared" si="0"/>
        <v>20</v>
      </c>
      <c r="B23" s="8"/>
      <c r="C23" s="3"/>
      <c r="D23" s="3"/>
      <c r="E23" s="2"/>
      <c r="F23" s="3"/>
      <c r="G23" s="3"/>
      <c r="H23" s="2"/>
      <c r="I23" s="2"/>
      <c r="J23" s="2"/>
      <c r="K23" s="3"/>
      <c r="L23" s="3"/>
    </row>
    <row r="24" spans="1:12" ht="12.75">
      <c r="A24" s="1"/>
      <c r="B24" s="8" t="s">
        <v>13</v>
      </c>
      <c r="C24" s="3">
        <f aca="true" t="shared" si="1" ref="C24:L24">SUM(C4:C23)</f>
        <v>57736.63</v>
      </c>
      <c r="D24" s="3">
        <f t="shared" si="1"/>
        <v>222140.72999999998</v>
      </c>
      <c r="E24" s="2">
        <f t="shared" si="1"/>
        <v>30678.78</v>
      </c>
      <c r="F24" s="3">
        <f t="shared" si="1"/>
        <v>101079.48000000001</v>
      </c>
      <c r="G24" s="3">
        <f t="shared" si="1"/>
        <v>-27057.85</v>
      </c>
      <c r="H24" s="2">
        <f t="shared" si="1"/>
        <v>-121061.24999999997</v>
      </c>
      <c r="I24" s="2">
        <f t="shared" si="1"/>
        <v>0</v>
      </c>
      <c r="J24" s="2">
        <f t="shared" si="1"/>
        <v>170499.28</v>
      </c>
      <c r="K24" s="3">
        <f t="shared" si="1"/>
        <v>0</v>
      </c>
      <c r="L24" s="3">
        <f t="shared" si="1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5.7109375" style="0" customWidth="1"/>
    <col min="2" max="2" width="24.8515625" style="0" customWidth="1"/>
    <col min="3" max="4" width="10.7109375" style="0" customWidth="1"/>
    <col min="5" max="5" width="10.28125" style="0" customWidth="1"/>
    <col min="6" max="6" width="10.421875" style="0" customWidth="1"/>
    <col min="7" max="7" width="11.00390625" style="0" customWidth="1"/>
    <col min="8" max="8" width="11.140625" style="0" customWidth="1"/>
    <col min="9" max="9" width="10.140625" style="0" bestFit="1" customWidth="1"/>
    <col min="10" max="10" width="12.28125" style="0" customWidth="1"/>
    <col min="11" max="12" width="9.28125" style="0" bestFit="1" customWidth="1"/>
  </cols>
  <sheetData>
    <row r="2" spans="1:12" ht="12.75">
      <c r="A2" s="1" t="s">
        <v>0</v>
      </c>
      <c r="B2" s="6" t="s">
        <v>1</v>
      </c>
      <c r="C2" s="5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6" t="s">
        <v>10</v>
      </c>
      <c r="L2" s="6" t="s">
        <v>11</v>
      </c>
    </row>
    <row r="3" spans="1:12" ht="15.75">
      <c r="A3" s="1">
        <v>1</v>
      </c>
      <c r="B3" s="17" t="s">
        <v>15</v>
      </c>
      <c r="C3" s="10">
        <f>37433.35+20300.28</f>
        <v>57733.63</v>
      </c>
      <c r="D3" s="10">
        <f>Декабрь10!D4+Январь!C3</f>
        <v>95166.98</v>
      </c>
      <c r="E3" s="11">
        <f>25078.04+5600.74</f>
        <v>30678.78</v>
      </c>
      <c r="F3" s="10">
        <f>Декабрь10!E4+Январь!E3</f>
        <v>43784.97</v>
      </c>
      <c r="G3" s="10">
        <f>E3-C3</f>
        <v>-27054.85</v>
      </c>
      <c r="H3" s="11">
        <f>F3-D3</f>
        <v>-51382.009999999995</v>
      </c>
      <c r="I3" s="11"/>
      <c r="J3" s="11">
        <f>Декабрь10!J4+Январь!I3</f>
        <v>0</v>
      </c>
      <c r="K3" s="10"/>
      <c r="L3" s="10">
        <f>K3+Декабрь10!L4</f>
        <v>0</v>
      </c>
    </row>
    <row r="4" spans="1:12" ht="15.75">
      <c r="A4" s="1">
        <f>A3+1</f>
        <v>2</v>
      </c>
      <c r="B4" s="17" t="s">
        <v>16</v>
      </c>
      <c r="C4" s="10">
        <f>92626.59+47385.24</f>
        <v>140011.83</v>
      </c>
      <c r="D4" s="10">
        <f>Декабрь10!D5+Январь!C4</f>
        <v>222140.72999999998</v>
      </c>
      <c r="E4" s="11">
        <f>59251.23+13073.25</f>
        <v>72324.48000000001</v>
      </c>
      <c r="F4" s="10">
        <f>Декабрь10!E5+Январь!E4</f>
        <v>101079.48000000001</v>
      </c>
      <c r="G4" s="10">
        <f aca="true" t="shared" si="0" ref="G4:G22">E4-C4</f>
        <v>-67687.34999999998</v>
      </c>
      <c r="H4" s="11">
        <f aca="true" t="shared" si="1" ref="H4:H22">F4-D4</f>
        <v>-121061.24999999997</v>
      </c>
      <c r="I4" s="11"/>
      <c r="J4" s="11">
        <f>Декабрь10!J5+Январь!I4</f>
        <v>170499.28</v>
      </c>
      <c r="K4" s="10"/>
      <c r="L4" s="10">
        <f>K4+Декабрь10!L5</f>
        <v>0</v>
      </c>
    </row>
    <row r="5" spans="1:12" ht="15.75">
      <c r="A5" s="1">
        <f aca="true" t="shared" si="2" ref="A5:A22">A4+1</f>
        <v>3</v>
      </c>
      <c r="B5" s="17" t="s">
        <v>18</v>
      </c>
      <c r="C5" s="10">
        <f>80438.4+37940.03</f>
        <v>118378.43</v>
      </c>
      <c r="D5" s="10">
        <f>Декабрь10!D6+Январь!C5</f>
        <v>189700.13</v>
      </c>
      <c r="E5" s="11">
        <f>49830.78+9904.52</f>
        <v>59735.3</v>
      </c>
      <c r="F5" s="10">
        <f>Декабрь10!E6+Январь!E5</f>
        <v>84443.16</v>
      </c>
      <c r="G5" s="10">
        <f t="shared" si="0"/>
        <v>-58643.12999999999</v>
      </c>
      <c r="H5" s="11">
        <f t="shared" si="1"/>
        <v>-105256.97</v>
      </c>
      <c r="I5" s="11"/>
      <c r="J5" s="11">
        <f>Декабрь10!J6+Январь!I5</f>
        <v>90645.82</v>
      </c>
      <c r="K5" s="10"/>
      <c r="L5" s="10">
        <f>K5+Декабрь10!L6</f>
        <v>0</v>
      </c>
    </row>
    <row r="6" spans="1:12" ht="15.75">
      <c r="A6" s="1">
        <f t="shared" si="2"/>
        <v>4</v>
      </c>
      <c r="B6" s="17" t="s">
        <v>19</v>
      </c>
      <c r="C6" s="10">
        <f>10298.87+5005.28</f>
        <v>15304.150000000001</v>
      </c>
      <c r="D6" s="10">
        <f>Декабрь10!D7+Январь!C6</f>
        <v>24883.090000000004</v>
      </c>
      <c r="E6" s="11">
        <f>6470.93+1306.66</f>
        <v>7777.59</v>
      </c>
      <c r="F6" s="10">
        <f>Декабрь10!E7+Январь!E6</f>
        <v>11050.96</v>
      </c>
      <c r="G6" s="10">
        <f t="shared" si="0"/>
        <v>-7526.560000000001</v>
      </c>
      <c r="H6" s="11">
        <f t="shared" si="1"/>
        <v>-13832.130000000005</v>
      </c>
      <c r="I6" s="11"/>
      <c r="J6" s="11">
        <f>Декабрь10!J7+Январь!I6</f>
        <v>0</v>
      </c>
      <c r="K6" s="10"/>
      <c r="L6" s="10">
        <f>K6+Декабрь10!L7</f>
        <v>0</v>
      </c>
    </row>
    <row r="7" spans="1:12" ht="15.75">
      <c r="A7" s="1">
        <f t="shared" si="2"/>
        <v>5</v>
      </c>
      <c r="B7" s="18" t="s">
        <v>20</v>
      </c>
      <c r="C7" s="10">
        <f>6021.12+3265.24</f>
        <v>9286.36</v>
      </c>
      <c r="D7" s="10">
        <f>Декабрь10!D8+Январь!C7</f>
        <v>15307.48</v>
      </c>
      <c r="E7" s="11">
        <f>4033.74+900.85</f>
        <v>4934.59</v>
      </c>
      <c r="F7" s="10">
        <f>Декабрь10!E8+Январь!E7</f>
        <v>7042.71</v>
      </c>
      <c r="G7" s="10">
        <f t="shared" si="0"/>
        <v>-4351.77</v>
      </c>
      <c r="H7" s="11">
        <f t="shared" si="1"/>
        <v>-8264.77</v>
      </c>
      <c r="I7" s="11"/>
      <c r="J7" s="11">
        <f>Декабрь10!J8+Январь!I7</f>
        <v>0</v>
      </c>
      <c r="K7" s="10"/>
      <c r="L7" s="10">
        <f>K7+Декабрь10!L8</f>
        <v>0</v>
      </c>
    </row>
    <row r="8" spans="1:12" ht="15.75">
      <c r="A8" s="1">
        <f t="shared" si="2"/>
        <v>6</v>
      </c>
      <c r="B8" s="17" t="s">
        <v>30</v>
      </c>
      <c r="C8" s="10"/>
      <c r="D8" s="10">
        <f>Декабрь10!D9+Январь!C8</f>
        <v>0</v>
      </c>
      <c r="E8" s="11"/>
      <c r="F8" s="10">
        <f>Декабрь10!E9+Январь!E8</f>
        <v>0</v>
      </c>
      <c r="G8" s="10">
        <f t="shared" si="0"/>
        <v>0</v>
      </c>
      <c r="H8" s="11">
        <f t="shared" si="1"/>
        <v>0</v>
      </c>
      <c r="I8" s="11"/>
      <c r="J8" s="11">
        <f>Декабрь10!J9+Январь!I8</f>
        <v>0</v>
      </c>
      <c r="K8" s="10"/>
      <c r="L8" s="10">
        <f>K8+Декабрь10!L9</f>
        <v>0</v>
      </c>
    </row>
    <row r="9" spans="1:12" ht="15.75">
      <c r="A9" s="1">
        <f t="shared" si="2"/>
        <v>7</v>
      </c>
      <c r="B9" s="17" t="s">
        <v>21</v>
      </c>
      <c r="C9" s="10">
        <f>60892.7+29512.16</f>
        <v>90404.86</v>
      </c>
      <c r="D9" s="10">
        <f>Декабрь10!D10+Январь!C9</f>
        <v>145663.36</v>
      </c>
      <c r="E9" s="11">
        <f>38744.8+8079.84</f>
        <v>46824.64</v>
      </c>
      <c r="F9" s="10">
        <f>Декабрь10!E10+Январь!E9</f>
        <v>66087.31</v>
      </c>
      <c r="G9" s="10">
        <f t="shared" si="0"/>
        <v>-43580.22</v>
      </c>
      <c r="H9" s="11">
        <f t="shared" si="1"/>
        <v>-79576.04999999999</v>
      </c>
      <c r="I9" s="11">
        <v>122502</v>
      </c>
      <c r="J9" s="11">
        <f>Декабрь10!J10+Январь!I9</f>
        <v>186558</v>
      </c>
      <c r="K9" s="10"/>
      <c r="L9" s="10">
        <f>K9+Декабрь10!L10</f>
        <v>0</v>
      </c>
    </row>
    <row r="10" spans="1:12" ht="15.75">
      <c r="A10" s="1">
        <f t="shared" si="2"/>
        <v>8</v>
      </c>
      <c r="B10" s="17" t="s">
        <v>22</v>
      </c>
      <c r="C10" s="10">
        <f>33163.2+14448.9</f>
        <v>47612.1</v>
      </c>
      <c r="D10" s="10">
        <f>Декабрь10!D11+Январь!C10</f>
        <v>72244.65</v>
      </c>
      <c r="E10" s="11">
        <f>18222.24+3559.38</f>
        <v>21781.620000000003</v>
      </c>
      <c r="F10" s="10">
        <f>Декабрь10!E11+Январь!E10</f>
        <v>30315.04</v>
      </c>
      <c r="G10" s="10">
        <f t="shared" si="0"/>
        <v>-25830.479999999996</v>
      </c>
      <c r="H10" s="11">
        <f t="shared" si="1"/>
        <v>-41929.60999999999</v>
      </c>
      <c r="I10" s="11">
        <v>36003.71</v>
      </c>
      <c r="J10" s="11">
        <f>Декабрь10!J11+Январь!I10</f>
        <v>66007.5</v>
      </c>
      <c r="K10" s="10"/>
      <c r="L10" s="10">
        <f>K10+Декабрь10!L11</f>
        <v>0</v>
      </c>
    </row>
    <row r="11" spans="1:12" ht="15.75">
      <c r="A11" s="1">
        <f t="shared" si="2"/>
        <v>9</v>
      </c>
      <c r="B11" s="17" t="s">
        <v>23</v>
      </c>
      <c r="C11" s="10">
        <f>33163.2+14448.9</f>
        <v>47612.1</v>
      </c>
      <c r="D11" s="10">
        <f>Декабрь10!D12+Январь!C11</f>
        <v>72244.65</v>
      </c>
      <c r="E11" s="11">
        <f>18222.26+3559.39</f>
        <v>21781.649999999998</v>
      </c>
      <c r="F11" s="10">
        <f>Декабрь10!E12+Январь!E11</f>
        <v>30315.07</v>
      </c>
      <c r="G11" s="10">
        <f t="shared" si="0"/>
        <v>-25830.45</v>
      </c>
      <c r="H11" s="11">
        <f t="shared" si="1"/>
        <v>-41929.579999999994</v>
      </c>
      <c r="I11" s="11">
        <v>36003.71</v>
      </c>
      <c r="J11" s="11">
        <f>Декабрь10!J12+Январь!I11</f>
        <v>66007.5</v>
      </c>
      <c r="K11" s="10"/>
      <c r="L11" s="10">
        <f>K11+Декабрь10!L12</f>
        <v>0</v>
      </c>
    </row>
    <row r="12" spans="1:12" ht="15.75">
      <c r="A12" s="1">
        <f t="shared" si="2"/>
        <v>10</v>
      </c>
      <c r="B12" s="17" t="s">
        <v>24</v>
      </c>
      <c r="C12" s="10">
        <f>20147.85+9234.42</f>
        <v>29382.269999999997</v>
      </c>
      <c r="D12" s="10">
        <f>Декабрь10!D13+Январь!C12</f>
        <v>46172.09</v>
      </c>
      <c r="E12" s="11">
        <f>12197.39+2410.74</f>
        <v>14608.13</v>
      </c>
      <c r="F12" s="10">
        <f>Декабрь10!E13+Январь!E12</f>
        <v>20424.61</v>
      </c>
      <c r="G12" s="10">
        <f t="shared" si="0"/>
        <v>-14774.139999999998</v>
      </c>
      <c r="H12" s="11">
        <f t="shared" si="1"/>
        <v>-25747.479999999996</v>
      </c>
      <c r="I12" s="11">
        <v>21656.22</v>
      </c>
      <c r="J12" s="11">
        <f>Декабрь10!J13+Январь!I12</f>
        <v>39700.380000000005</v>
      </c>
      <c r="K12" s="10"/>
      <c r="L12" s="10">
        <f>K12+Декабрь10!L13</f>
        <v>0</v>
      </c>
    </row>
    <row r="13" spans="1:12" ht="15.75">
      <c r="A13" s="1">
        <f t="shared" si="2"/>
        <v>11</v>
      </c>
      <c r="B13" s="17" t="s">
        <v>25</v>
      </c>
      <c r="C13" s="10">
        <f>23150.74+12554.84</f>
        <v>35705.58</v>
      </c>
      <c r="D13" s="10">
        <f>Декабрь10!D14+Январь!C13</f>
        <v>58856.32000000001</v>
      </c>
      <c r="E13" s="11">
        <f>15509.58+3463.79</f>
        <v>18973.37</v>
      </c>
      <c r="F13" s="10">
        <f>Декабрь10!E14+Январь!E13</f>
        <v>27078.93</v>
      </c>
      <c r="G13" s="10">
        <f t="shared" si="0"/>
        <v>-16732.210000000003</v>
      </c>
      <c r="H13" s="11">
        <f t="shared" si="1"/>
        <v>-31777.390000000007</v>
      </c>
      <c r="I13" s="11"/>
      <c r="J13" s="11">
        <f>Декабрь10!J14+Январь!I13</f>
        <v>0</v>
      </c>
      <c r="K13" s="10"/>
      <c r="L13" s="10">
        <f>K13+Декабрь10!L14</f>
        <v>0</v>
      </c>
    </row>
    <row r="14" spans="1:12" ht="15.75">
      <c r="A14" s="1">
        <f t="shared" si="2"/>
        <v>12</v>
      </c>
      <c r="B14" s="17" t="s">
        <v>26</v>
      </c>
      <c r="C14" s="10">
        <f>5450.06+2986.82</f>
        <v>8436.880000000001</v>
      </c>
      <c r="D14" s="10">
        <f>Декабрь10!D15+Январь!C14</f>
        <v>13886.940000000002</v>
      </c>
      <c r="E14" s="11">
        <f>3689.79+824.08</f>
        <v>4513.87</v>
      </c>
      <c r="F14" s="10">
        <f>Декабрь10!E15+Январь!E14</f>
        <v>6442.24</v>
      </c>
      <c r="G14" s="10">
        <f t="shared" si="0"/>
        <v>-3923.010000000001</v>
      </c>
      <c r="H14" s="11">
        <f t="shared" si="1"/>
        <v>-7444.700000000003</v>
      </c>
      <c r="I14" s="11"/>
      <c r="J14" s="11">
        <f>Декабрь10!J15+Январь!I14</f>
        <v>0</v>
      </c>
      <c r="K14" s="10"/>
      <c r="L14" s="10">
        <f>K14+Декабрь10!L15</f>
        <v>0</v>
      </c>
    </row>
    <row r="15" spans="1:12" ht="15.75">
      <c r="A15" s="1">
        <f t="shared" si="2"/>
        <v>13</v>
      </c>
      <c r="B15" s="17" t="s">
        <v>27</v>
      </c>
      <c r="C15" s="10">
        <f>1867+1012.5</f>
        <v>2879.5</v>
      </c>
      <c r="D15" s="10">
        <f>Декабрь10!D16+Январь!C15</f>
        <v>4746.5</v>
      </c>
      <c r="E15" s="11">
        <f>1250.76+279.32</f>
        <v>1530.08</v>
      </c>
      <c r="F15" s="10">
        <f>Декабрь10!E16+Январь!E15</f>
        <v>2183.75</v>
      </c>
      <c r="G15" s="10">
        <f t="shared" si="0"/>
        <v>-1349.42</v>
      </c>
      <c r="H15" s="11">
        <f t="shared" si="1"/>
        <v>-2562.75</v>
      </c>
      <c r="I15" s="11"/>
      <c r="J15" s="11">
        <f>Декабрь10!J16+Январь!I15</f>
        <v>0</v>
      </c>
      <c r="K15" s="10"/>
      <c r="L15" s="10">
        <f>K15+Декабрь10!L16</f>
        <v>0</v>
      </c>
    </row>
    <row r="16" spans="1:12" ht="15.75">
      <c r="A16" s="1">
        <f t="shared" si="2"/>
        <v>14</v>
      </c>
      <c r="B16" s="17" t="s">
        <v>28</v>
      </c>
      <c r="C16" s="10"/>
      <c r="D16" s="10">
        <f>Декабрь10!D17+Январь!C16</f>
        <v>0</v>
      </c>
      <c r="E16" s="11"/>
      <c r="F16" s="10">
        <f>Декабрь10!E17+Январь!E16</f>
        <v>0</v>
      </c>
      <c r="G16" s="10">
        <f t="shared" si="0"/>
        <v>0</v>
      </c>
      <c r="H16" s="11">
        <f t="shared" si="1"/>
        <v>0</v>
      </c>
      <c r="I16" s="11"/>
      <c r="J16" s="11">
        <f>Декабрь10!J17+Январь!I16</f>
        <v>0</v>
      </c>
      <c r="K16" s="10"/>
      <c r="L16" s="10">
        <f>K16+Декабрь10!L17</f>
        <v>0</v>
      </c>
    </row>
    <row r="17" spans="1:12" ht="15.75">
      <c r="A17" s="1">
        <f t="shared" si="2"/>
        <v>15</v>
      </c>
      <c r="B17" s="17" t="s">
        <v>29</v>
      </c>
      <c r="C17" s="10"/>
      <c r="D17" s="10">
        <f>Декабрь10!D18+Январь!C17</f>
        <v>0</v>
      </c>
      <c r="E17" s="11"/>
      <c r="F17" s="10">
        <f>Декабрь10!E18+Январь!E17</f>
        <v>0</v>
      </c>
      <c r="G17" s="10">
        <f t="shared" si="0"/>
        <v>0</v>
      </c>
      <c r="H17" s="11">
        <f t="shared" si="1"/>
        <v>0</v>
      </c>
      <c r="I17" s="11"/>
      <c r="J17" s="11">
        <f>Декабрь10!J18+Январь!I17</f>
        <v>0</v>
      </c>
      <c r="K17" s="10"/>
      <c r="L17" s="10">
        <f>K17+Декабрь10!L18</f>
        <v>0</v>
      </c>
    </row>
    <row r="18" spans="1:12" ht="12.75">
      <c r="A18" s="1">
        <f t="shared" si="2"/>
        <v>16</v>
      </c>
      <c r="B18" s="8" t="s">
        <v>31</v>
      </c>
      <c r="C18" s="10"/>
      <c r="D18" s="10">
        <f>Декабрь10!D19+Январь!C18</f>
        <v>0</v>
      </c>
      <c r="E18" s="11"/>
      <c r="F18" s="10">
        <f>Декабрь10!E19+Январь!E18</f>
        <v>0</v>
      </c>
      <c r="G18" s="10">
        <f t="shared" si="0"/>
        <v>0</v>
      </c>
      <c r="H18" s="11">
        <f t="shared" si="1"/>
        <v>0</v>
      </c>
      <c r="I18" s="11">
        <v>2508.09</v>
      </c>
      <c r="J18" s="11">
        <f>Декабрь10!J19+Январь!I18</f>
        <v>2508.09</v>
      </c>
      <c r="K18" s="10"/>
      <c r="L18" s="10">
        <f>K18+Декабрь10!L19</f>
        <v>0</v>
      </c>
    </row>
    <row r="19" spans="1:12" ht="12.75">
      <c r="A19" s="1">
        <f t="shared" si="2"/>
        <v>17</v>
      </c>
      <c r="B19" s="13" t="s">
        <v>32</v>
      </c>
      <c r="C19" s="10"/>
      <c r="D19" s="10">
        <f>Декабрь10!D20+Январь!C19</f>
        <v>0</v>
      </c>
      <c r="E19" s="11"/>
      <c r="F19" s="10">
        <f>Декабрь10!E20+Январь!E19</f>
        <v>0</v>
      </c>
      <c r="G19" s="10">
        <f t="shared" si="0"/>
        <v>0</v>
      </c>
      <c r="H19" s="11">
        <f t="shared" si="1"/>
        <v>0</v>
      </c>
      <c r="I19" s="11"/>
      <c r="J19" s="11">
        <f>Декабрь10!J20+Январь!I19</f>
        <v>0</v>
      </c>
      <c r="K19" s="10"/>
      <c r="L19" s="10">
        <f>K19+Декабрь10!L20</f>
        <v>0</v>
      </c>
    </row>
    <row r="20" spans="1:12" ht="12.75">
      <c r="A20" s="1">
        <f t="shared" si="2"/>
        <v>18</v>
      </c>
      <c r="B20" s="13" t="s">
        <v>33</v>
      </c>
      <c r="C20" s="10"/>
      <c r="D20" s="10">
        <f>Декабрь10!D21+Январь!C20</f>
        <v>0</v>
      </c>
      <c r="E20" s="11"/>
      <c r="F20" s="10">
        <f>Декабрь10!E21+Январь!E20</f>
        <v>0</v>
      </c>
      <c r="G20" s="10">
        <f t="shared" si="0"/>
        <v>0</v>
      </c>
      <c r="H20" s="11">
        <f t="shared" si="1"/>
        <v>0</v>
      </c>
      <c r="I20" s="11">
        <v>2500</v>
      </c>
      <c r="J20" s="11">
        <f>Декабрь10!J21+Январь!I20</f>
        <v>2500</v>
      </c>
      <c r="K20" s="10"/>
      <c r="L20" s="10">
        <f>K20+Декабрь10!L21</f>
        <v>0</v>
      </c>
    </row>
    <row r="21" spans="1:12" ht="12.75">
      <c r="A21" s="1">
        <f t="shared" si="2"/>
        <v>19</v>
      </c>
      <c r="B21" s="8"/>
      <c r="C21" s="10"/>
      <c r="D21" s="10">
        <f>Декабрь10!D22+Январь!C21</f>
        <v>0</v>
      </c>
      <c r="E21" s="11"/>
      <c r="F21" s="10">
        <f>Декабрь10!E22+Январь!E21</f>
        <v>0</v>
      </c>
      <c r="G21" s="10">
        <f t="shared" si="0"/>
        <v>0</v>
      </c>
      <c r="H21" s="11">
        <f t="shared" si="1"/>
        <v>0</v>
      </c>
      <c r="I21" s="11"/>
      <c r="J21" s="11">
        <f>Декабрь10!J22+Январь!I21</f>
        <v>0</v>
      </c>
      <c r="K21" s="10"/>
      <c r="L21" s="10">
        <f>K21+Декабрь10!L22</f>
        <v>0</v>
      </c>
    </row>
    <row r="22" spans="1:12" ht="12.75">
      <c r="A22" s="1">
        <f t="shared" si="2"/>
        <v>20</v>
      </c>
      <c r="B22" s="8"/>
      <c r="C22" s="10"/>
      <c r="D22" s="10">
        <f>Декабрь10!D23+Январь!C22</f>
        <v>0</v>
      </c>
      <c r="E22" s="11"/>
      <c r="F22" s="10">
        <f>Декабрь10!E23+Январь!E22</f>
        <v>0</v>
      </c>
      <c r="G22" s="10">
        <f t="shared" si="0"/>
        <v>0</v>
      </c>
      <c r="H22" s="11">
        <f t="shared" si="1"/>
        <v>0</v>
      </c>
      <c r="I22" s="11"/>
      <c r="J22" s="11">
        <f>Декабрь10!J23+Январь!I22</f>
        <v>0</v>
      </c>
      <c r="K22" s="10"/>
      <c r="L22" s="10">
        <f>K22+Декабрь10!L23</f>
        <v>0</v>
      </c>
    </row>
    <row r="23" spans="1:12" ht="12.75">
      <c r="A23" s="1"/>
      <c r="B23" s="8" t="s">
        <v>13</v>
      </c>
      <c r="C23" s="10">
        <f aca="true" t="shared" si="3" ref="C23:L23">SUM(C3:C22)</f>
        <v>602747.69</v>
      </c>
      <c r="D23" s="10">
        <f t="shared" si="3"/>
        <v>961012.9199999999</v>
      </c>
      <c r="E23" s="11">
        <f t="shared" si="3"/>
        <v>305464.10000000003</v>
      </c>
      <c r="F23" s="10">
        <f t="shared" si="3"/>
        <v>430248.2299999999</v>
      </c>
      <c r="G23" s="10">
        <f t="shared" si="3"/>
        <v>-297283.58999999997</v>
      </c>
      <c r="H23" s="11">
        <f t="shared" si="3"/>
        <v>-530764.69</v>
      </c>
      <c r="I23" s="11">
        <f t="shared" si="3"/>
        <v>221173.72999999998</v>
      </c>
      <c r="J23" s="11">
        <f t="shared" si="3"/>
        <v>624426.57</v>
      </c>
      <c r="K23" s="10">
        <f t="shared" si="3"/>
        <v>0</v>
      </c>
      <c r="L23" s="10">
        <f t="shared" si="3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5.7109375" style="0" customWidth="1"/>
    <col min="2" max="2" width="27.7109375" style="0" customWidth="1"/>
    <col min="3" max="3" width="11.57421875" style="0" customWidth="1"/>
    <col min="4" max="4" width="11.28125" style="0" customWidth="1"/>
    <col min="5" max="5" width="10.421875" style="0" customWidth="1"/>
    <col min="6" max="6" width="11.421875" style="0" customWidth="1"/>
    <col min="7" max="7" width="10.7109375" style="0" customWidth="1"/>
    <col min="8" max="8" width="13.00390625" style="0" customWidth="1"/>
    <col min="9" max="9" width="10.421875" style="0" customWidth="1"/>
    <col min="10" max="10" width="11.421875" style="0" customWidth="1"/>
    <col min="11" max="12" width="9.28125" style="0" bestFit="1" customWidth="1"/>
  </cols>
  <sheetData>
    <row r="2" spans="1:12" ht="12.75">
      <c r="A2" s="1" t="s">
        <v>0</v>
      </c>
      <c r="B2" s="6" t="s">
        <v>1</v>
      </c>
      <c r="C2" s="5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6" t="s">
        <v>10</v>
      </c>
      <c r="L2" s="6" t="s">
        <v>11</v>
      </c>
    </row>
    <row r="3" spans="1:12" ht="15.75">
      <c r="A3" s="1">
        <v>1</v>
      </c>
      <c r="B3" s="17" t="s">
        <v>15</v>
      </c>
      <c r="C3" s="10">
        <f>35692.06+12602.33</f>
        <v>48294.39</v>
      </c>
      <c r="D3" s="10">
        <f>C3+Январь!D3</f>
        <v>143461.37</v>
      </c>
      <c r="E3" s="11">
        <f>26040.27+11870.62</f>
        <v>37910.89</v>
      </c>
      <c r="F3" s="10">
        <f>E3+Январь!F3</f>
        <v>81695.86</v>
      </c>
      <c r="G3" s="10">
        <f>E3-C3</f>
        <v>-10383.5</v>
      </c>
      <c r="H3" s="11">
        <f>F3-D3</f>
        <v>-61765.509999999995</v>
      </c>
      <c r="I3" s="11"/>
      <c r="J3" s="11">
        <f>I3+Январь!J3</f>
        <v>0</v>
      </c>
      <c r="K3" s="10"/>
      <c r="L3" s="10">
        <f>K3+Январь!L3</f>
        <v>0</v>
      </c>
    </row>
    <row r="4" spans="1:12" ht="15.75">
      <c r="A4" s="1">
        <f>A3+1</f>
        <v>2</v>
      </c>
      <c r="B4" s="17" t="s">
        <v>16</v>
      </c>
      <c r="C4" s="10">
        <f>88317.85+31183.65</f>
        <v>119501.5</v>
      </c>
      <c r="D4" s="10">
        <f>C4+Январь!D4</f>
        <v>341642.23</v>
      </c>
      <c r="E4" s="11">
        <f>63611.45+28467.44</f>
        <v>92078.89</v>
      </c>
      <c r="F4" s="10">
        <f>E4+Январь!F4</f>
        <v>193158.37</v>
      </c>
      <c r="G4" s="10">
        <f aca="true" t="shared" si="0" ref="G4:H22">E4-C4</f>
        <v>-27422.61</v>
      </c>
      <c r="H4" s="11">
        <f t="shared" si="0"/>
        <v>-148483.86</v>
      </c>
      <c r="I4" s="11"/>
      <c r="J4" s="11">
        <f>I4+Январь!J4</f>
        <v>170499.28</v>
      </c>
      <c r="K4" s="10"/>
      <c r="L4" s="10">
        <f>K4+Январь!L4</f>
        <v>0</v>
      </c>
    </row>
    <row r="5" spans="1:12" ht="15.75">
      <c r="A5" s="1">
        <f aca="true" t="shared" si="1" ref="A5:A22">A4+1</f>
        <v>3</v>
      </c>
      <c r="B5" s="17" t="s">
        <v>18</v>
      </c>
      <c r="C5" s="10">
        <f>76202.85+24146.05</f>
        <v>100348.90000000001</v>
      </c>
      <c r="D5" s="10">
        <f>C5+Январь!D5</f>
        <v>290049.03</v>
      </c>
      <c r="E5" s="11">
        <f>53614.58+21870.62</f>
        <v>75485.2</v>
      </c>
      <c r="F5" s="10">
        <f>E5+Январь!F5</f>
        <v>159928.36</v>
      </c>
      <c r="G5" s="10">
        <f t="shared" si="0"/>
        <v>-24863.70000000001</v>
      </c>
      <c r="H5" s="11">
        <f t="shared" si="0"/>
        <v>-130120.67000000004</v>
      </c>
      <c r="I5" s="11"/>
      <c r="J5" s="11">
        <f>I5+Январь!J5</f>
        <v>90645.82</v>
      </c>
      <c r="K5" s="10"/>
      <c r="L5" s="10">
        <f>K5+Январь!L5</f>
        <v>0</v>
      </c>
    </row>
    <row r="6" spans="1:12" ht="15.75">
      <c r="A6" s="1">
        <f t="shared" si="1"/>
        <v>4</v>
      </c>
      <c r="B6" s="17" t="s">
        <v>19</v>
      </c>
      <c r="C6" s="10">
        <f>9753.52+3112.97</f>
        <v>12866.49</v>
      </c>
      <c r="D6" s="10">
        <f>C6+Январь!D6</f>
        <v>37749.58</v>
      </c>
      <c r="E6" s="11">
        <f>6945.31+2855</f>
        <v>9800.310000000001</v>
      </c>
      <c r="F6" s="10">
        <f>E6+Январь!F6</f>
        <v>20851.27</v>
      </c>
      <c r="G6" s="10">
        <f t="shared" si="0"/>
        <v>-3066.1799999999985</v>
      </c>
      <c r="H6" s="11">
        <f t="shared" si="0"/>
        <v>-16898.31</v>
      </c>
      <c r="I6" s="11"/>
      <c r="J6" s="11">
        <f>I6+Январь!J6</f>
        <v>0</v>
      </c>
      <c r="K6" s="10"/>
      <c r="L6" s="10">
        <f>K6+Январь!L6</f>
        <v>0</v>
      </c>
    </row>
    <row r="7" spans="1:12" ht="15.75">
      <c r="A7" s="1">
        <f t="shared" si="1"/>
        <v>5</v>
      </c>
      <c r="B7" s="18" t="s">
        <v>20</v>
      </c>
      <c r="C7" s="10">
        <f>5740.03+2027.05</f>
        <v>7767.08</v>
      </c>
      <c r="D7" s="10">
        <f>C7+Январь!D7</f>
        <v>23074.559999999998</v>
      </c>
      <c r="E7" s="11">
        <f>4188.53+1909.35</f>
        <v>6097.879999999999</v>
      </c>
      <c r="F7" s="10">
        <f>E7+Январь!F7</f>
        <v>13140.59</v>
      </c>
      <c r="G7" s="10">
        <f t="shared" si="0"/>
        <v>-1669.2000000000007</v>
      </c>
      <c r="H7" s="11">
        <f t="shared" si="0"/>
        <v>-9933.969999999998</v>
      </c>
      <c r="I7" s="11"/>
      <c r="J7" s="11">
        <f>I7+Январь!J7</f>
        <v>0</v>
      </c>
      <c r="K7" s="10"/>
      <c r="L7" s="10">
        <f>K7+Январь!L7</f>
        <v>0</v>
      </c>
    </row>
    <row r="8" spans="1:12" ht="15.75">
      <c r="A8" s="1">
        <f t="shared" si="1"/>
        <v>6</v>
      </c>
      <c r="B8" s="17" t="s">
        <v>30</v>
      </c>
      <c r="C8" s="10"/>
      <c r="D8" s="10">
        <f>C8+Январь!D8</f>
        <v>0</v>
      </c>
      <c r="E8" s="11"/>
      <c r="F8" s="10">
        <f>E8+Январь!F8</f>
        <v>0</v>
      </c>
      <c r="G8" s="10">
        <f t="shared" si="0"/>
        <v>0</v>
      </c>
      <c r="H8" s="11">
        <f t="shared" si="0"/>
        <v>0</v>
      </c>
      <c r="I8" s="11"/>
      <c r="J8" s="11">
        <f>I8+Январь!J8</f>
        <v>0</v>
      </c>
      <c r="K8" s="10"/>
      <c r="L8" s="10">
        <f>K8+Январь!L8</f>
        <v>0</v>
      </c>
    </row>
    <row r="9" spans="1:12" ht="15.75">
      <c r="A9" s="1">
        <f t="shared" si="1"/>
        <v>7</v>
      </c>
      <c r="B9" s="17" t="s">
        <v>21</v>
      </c>
      <c r="C9" s="10">
        <f>57245.32+19119.24</f>
        <v>76364.56</v>
      </c>
      <c r="D9" s="10">
        <f>C9+Январь!D9</f>
        <v>222027.91999999998</v>
      </c>
      <c r="E9" s="11">
        <f>41670.39+17760.66</f>
        <v>59431.05</v>
      </c>
      <c r="F9" s="10">
        <f>E9+Январь!F9</f>
        <v>125518.36</v>
      </c>
      <c r="G9" s="10">
        <f t="shared" si="0"/>
        <v>-16933.509999999995</v>
      </c>
      <c r="H9" s="11">
        <f t="shared" si="0"/>
        <v>-96509.55999999998</v>
      </c>
      <c r="I9" s="11">
        <v>293813.6</v>
      </c>
      <c r="J9" s="11">
        <f>I9+Январь!J9</f>
        <v>480371.6</v>
      </c>
      <c r="K9" s="10"/>
      <c r="L9" s="10">
        <f>K9+Январь!L9</f>
        <v>0</v>
      </c>
    </row>
    <row r="10" spans="1:12" ht="15.75">
      <c r="A10" s="1">
        <f t="shared" si="1"/>
        <v>8</v>
      </c>
      <c r="B10" s="17" t="s">
        <v>22</v>
      </c>
      <c r="C10" s="10">
        <f>28007.53+8874.04</f>
        <v>36881.57</v>
      </c>
      <c r="D10" s="10">
        <f>C10+Январь!D10</f>
        <v>109126.22</v>
      </c>
      <c r="E10" s="11">
        <f>21261.87+8351.31</f>
        <v>29613.18</v>
      </c>
      <c r="F10" s="10">
        <f>E10+Январь!F10</f>
        <v>59928.22</v>
      </c>
      <c r="G10" s="10">
        <f t="shared" si="0"/>
        <v>-7268.389999999999</v>
      </c>
      <c r="H10" s="11">
        <f t="shared" si="0"/>
        <v>-49198</v>
      </c>
      <c r="I10" s="11"/>
      <c r="J10" s="11">
        <f>I10+Январь!J10</f>
        <v>66007.5</v>
      </c>
      <c r="K10" s="10">
        <v>30003.79</v>
      </c>
      <c r="L10" s="10">
        <f>K10+Январь!L10</f>
        <v>30003.79</v>
      </c>
    </row>
    <row r="11" spans="1:12" ht="15.75">
      <c r="A11" s="1">
        <f t="shared" si="1"/>
        <v>9</v>
      </c>
      <c r="B11" s="17" t="s">
        <v>23</v>
      </c>
      <c r="C11" s="10">
        <f>28007.54+8874.03</f>
        <v>36881.57</v>
      </c>
      <c r="D11" s="10">
        <f>C11+Январь!D11</f>
        <v>109126.22</v>
      </c>
      <c r="E11" s="11">
        <f>21261.86+8351.3</f>
        <v>29613.16</v>
      </c>
      <c r="F11" s="10">
        <f>E11+Январь!F11</f>
        <v>59928.229999999996</v>
      </c>
      <c r="G11" s="10">
        <f t="shared" si="0"/>
        <v>-7268.41</v>
      </c>
      <c r="H11" s="11">
        <f t="shared" si="0"/>
        <v>-49197.990000000005</v>
      </c>
      <c r="I11" s="11"/>
      <c r="J11" s="11">
        <f>I11+Январь!J11</f>
        <v>66007.5</v>
      </c>
      <c r="K11" s="10">
        <v>30003.79</v>
      </c>
      <c r="L11" s="10">
        <f>K11+Январь!L11</f>
        <v>30003.79</v>
      </c>
    </row>
    <row r="12" spans="1:12" ht="15.75">
      <c r="A12" s="1">
        <f t="shared" si="1"/>
        <v>10</v>
      </c>
      <c r="B12" s="17" t="s">
        <v>24</v>
      </c>
      <c r="C12" s="10">
        <f>19090.16+6048.66</f>
        <v>25138.82</v>
      </c>
      <c r="D12" s="10">
        <f>C12+Январь!D12</f>
        <v>71310.91</v>
      </c>
      <c r="E12" s="11">
        <f>13354.02+5395.52</f>
        <v>18749.54</v>
      </c>
      <c r="F12" s="10">
        <f>E12+Январь!F12</f>
        <v>39174.15</v>
      </c>
      <c r="G12" s="10">
        <f t="shared" si="0"/>
        <v>-6389.279999999999</v>
      </c>
      <c r="H12" s="11">
        <f t="shared" si="0"/>
        <v>-32136.760000000002</v>
      </c>
      <c r="I12" s="11"/>
      <c r="J12" s="11">
        <f>I12+Январь!J12</f>
        <v>39700.380000000005</v>
      </c>
      <c r="K12" s="10">
        <v>18044.16</v>
      </c>
      <c r="L12" s="10">
        <f>K12+Январь!L12</f>
        <v>18044.16</v>
      </c>
    </row>
    <row r="13" spans="1:12" ht="15.75">
      <c r="A13" s="1">
        <f t="shared" si="1"/>
        <v>11</v>
      </c>
      <c r="B13" s="17" t="s">
        <v>25</v>
      </c>
      <c r="C13" s="10">
        <f>22073.83+7793.97</f>
        <v>29867.800000000003</v>
      </c>
      <c r="D13" s="10">
        <f>C13+Январь!D13</f>
        <v>88724.12000000001</v>
      </c>
      <c r="E13" s="11">
        <f>16104.68+7341.48</f>
        <v>23446.16</v>
      </c>
      <c r="F13" s="10">
        <f>E13+Январь!F13</f>
        <v>50525.09</v>
      </c>
      <c r="G13" s="10">
        <f t="shared" si="0"/>
        <v>-6421.640000000003</v>
      </c>
      <c r="H13" s="11">
        <f t="shared" si="0"/>
        <v>-38199.03000000001</v>
      </c>
      <c r="I13" s="11"/>
      <c r="J13" s="11">
        <f>I13+Январь!J13</f>
        <v>0</v>
      </c>
      <c r="K13" s="10"/>
      <c r="L13" s="10">
        <f>K13+Январь!L13</f>
        <v>0</v>
      </c>
    </row>
    <row r="14" spans="1:12" ht="15.75">
      <c r="A14" s="1">
        <f t="shared" si="1"/>
        <v>12</v>
      </c>
      <c r="B14" s="17" t="s">
        <v>26</v>
      </c>
      <c r="C14" s="10">
        <f>5193.87+1854.2</f>
        <v>7048.07</v>
      </c>
      <c r="D14" s="10">
        <f>C14+Январь!D14</f>
        <v>20935.010000000002</v>
      </c>
      <c r="E14" s="11">
        <f>3777.89+1746.54</f>
        <v>5524.43</v>
      </c>
      <c r="F14" s="10">
        <f>E14+Январь!F14</f>
        <v>11966.67</v>
      </c>
      <c r="G14" s="10">
        <f t="shared" si="0"/>
        <v>-1523.6399999999994</v>
      </c>
      <c r="H14" s="11">
        <f t="shared" si="0"/>
        <v>-8968.340000000002</v>
      </c>
      <c r="I14" s="11"/>
      <c r="J14" s="11">
        <f>I14+Январь!J14</f>
        <v>0</v>
      </c>
      <c r="K14" s="10"/>
      <c r="L14" s="10">
        <f>K14+Январь!L14</f>
        <v>0</v>
      </c>
    </row>
    <row r="15" spans="1:12" ht="15.75">
      <c r="A15" s="1">
        <f t="shared" si="1"/>
        <v>13</v>
      </c>
      <c r="B15" s="17" t="s">
        <v>27</v>
      </c>
      <c r="C15" s="10">
        <f>1780.16+628.55</f>
        <v>2408.71</v>
      </c>
      <c r="D15" s="10">
        <f>C15+Январь!D15</f>
        <v>7155.21</v>
      </c>
      <c r="E15" s="11">
        <f>1298.76+592.02</f>
        <v>1890.78</v>
      </c>
      <c r="F15" s="10">
        <f>E15+Январь!F15</f>
        <v>4074.5299999999997</v>
      </c>
      <c r="G15" s="10">
        <f t="shared" si="0"/>
        <v>-517.9300000000001</v>
      </c>
      <c r="H15" s="11">
        <f t="shared" si="0"/>
        <v>-3080.6800000000003</v>
      </c>
      <c r="I15" s="11"/>
      <c r="J15" s="11">
        <f>I15+Январь!J15</f>
        <v>0</v>
      </c>
      <c r="K15" s="10"/>
      <c r="L15" s="10">
        <f>K15+Январь!L15</f>
        <v>0</v>
      </c>
    </row>
    <row r="16" spans="1:12" ht="15.75">
      <c r="A16" s="1">
        <f t="shared" si="1"/>
        <v>14</v>
      </c>
      <c r="B16" s="17" t="s">
        <v>28</v>
      </c>
      <c r="C16" s="10"/>
      <c r="D16" s="10">
        <f>C16+Январь!D16</f>
        <v>0</v>
      </c>
      <c r="E16" s="11"/>
      <c r="F16" s="10">
        <f>E16+Январь!F16</f>
        <v>0</v>
      </c>
      <c r="G16" s="10">
        <f t="shared" si="0"/>
        <v>0</v>
      </c>
      <c r="H16" s="11">
        <f t="shared" si="0"/>
        <v>0</v>
      </c>
      <c r="I16" s="11"/>
      <c r="J16" s="11">
        <f>I16+Январь!J16</f>
        <v>0</v>
      </c>
      <c r="K16" s="10"/>
      <c r="L16" s="10">
        <f>K16+Январь!L16</f>
        <v>0</v>
      </c>
    </row>
    <row r="17" spans="1:12" ht="15.75">
      <c r="A17" s="1">
        <f t="shared" si="1"/>
        <v>15</v>
      </c>
      <c r="B17" s="17" t="s">
        <v>29</v>
      </c>
      <c r="C17" s="10"/>
      <c r="D17" s="10">
        <f>C17+Январь!D17</f>
        <v>0</v>
      </c>
      <c r="E17" s="11"/>
      <c r="F17" s="10">
        <f>E17+Январь!F17</f>
        <v>0</v>
      </c>
      <c r="G17" s="10">
        <f t="shared" si="0"/>
        <v>0</v>
      </c>
      <c r="H17" s="11">
        <f t="shared" si="0"/>
        <v>0</v>
      </c>
      <c r="I17" s="11"/>
      <c r="J17" s="11">
        <f>I17+Январь!J17</f>
        <v>0</v>
      </c>
      <c r="K17" s="10"/>
      <c r="L17" s="10">
        <f>K17+Январь!L17</f>
        <v>0</v>
      </c>
    </row>
    <row r="18" spans="1:12" ht="12.75">
      <c r="A18" s="1">
        <f t="shared" si="1"/>
        <v>16</v>
      </c>
      <c r="B18" s="8" t="s">
        <v>31</v>
      </c>
      <c r="C18" s="10"/>
      <c r="D18" s="10">
        <f>C18+Январь!D18</f>
        <v>0</v>
      </c>
      <c r="E18" s="11"/>
      <c r="F18" s="10">
        <f>E18+Январь!F18</f>
        <v>0</v>
      </c>
      <c r="G18" s="10">
        <f t="shared" si="0"/>
        <v>0</v>
      </c>
      <c r="H18" s="11">
        <f t="shared" si="0"/>
        <v>0</v>
      </c>
      <c r="I18" s="11">
        <v>2508.09</v>
      </c>
      <c r="J18" s="11">
        <f>I18+Январь!J18</f>
        <v>5016.18</v>
      </c>
      <c r="K18" s="10">
        <f>I18*2</f>
        <v>5016.18</v>
      </c>
      <c r="L18" s="10">
        <f>K18+Январь!L18</f>
        <v>5016.18</v>
      </c>
    </row>
    <row r="19" spans="1:12" ht="12.75">
      <c r="A19" s="1">
        <f t="shared" si="1"/>
        <v>17</v>
      </c>
      <c r="B19" s="13" t="s">
        <v>32</v>
      </c>
      <c r="C19" s="10"/>
      <c r="D19" s="10">
        <f>C19+Январь!D19</f>
        <v>0</v>
      </c>
      <c r="E19" s="11"/>
      <c r="F19" s="10">
        <f>E19+Январь!F19</f>
        <v>0</v>
      </c>
      <c r="G19" s="10">
        <f t="shared" si="0"/>
        <v>0</v>
      </c>
      <c r="H19" s="11">
        <f t="shared" si="0"/>
        <v>0</v>
      </c>
      <c r="I19" s="11">
        <v>546.48</v>
      </c>
      <c r="J19" s="11">
        <f>I19+Январь!J19</f>
        <v>546.48</v>
      </c>
      <c r="K19" s="11">
        <v>546.48</v>
      </c>
      <c r="L19" s="10">
        <f>K19+Январь!L19</f>
        <v>546.48</v>
      </c>
    </row>
    <row r="20" spans="1:12" ht="12.75">
      <c r="A20" s="1">
        <f t="shared" si="1"/>
        <v>18</v>
      </c>
      <c r="B20" s="13" t="s">
        <v>33</v>
      </c>
      <c r="C20" s="10"/>
      <c r="D20" s="10">
        <f>C20+Январь!D20</f>
        <v>0</v>
      </c>
      <c r="E20" s="11"/>
      <c r="F20" s="10">
        <f>E20+Январь!F20</f>
        <v>0</v>
      </c>
      <c r="G20" s="10">
        <f t="shared" si="0"/>
        <v>0</v>
      </c>
      <c r="H20" s="11">
        <f t="shared" si="0"/>
        <v>0</v>
      </c>
      <c r="I20" s="11">
        <v>2500</v>
      </c>
      <c r="J20" s="11">
        <f>I20+Январь!J20</f>
        <v>5000</v>
      </c>
      <c r="K20" s="10"/>
      <c r="L20" s="10">
        <f>K20+Январь!L20</f>
        <v>0</v>
      </c>
    </row>
    <row r="21" spans="1:12" ht="12.75">
      <c r="A21" s="1">
        <f t="shared" si="1"/>
        <v>19</v>
      </c>
      <c r="B21" s="8"/>
      <c r="C21" s="10"/>
      <c r="D21" s="10">
        <f>C21+Январь!D21</f>
        <v>0</v>
      </c>
      <c r="E21" s="11"/>
      <c r="F21" s="10">
        <f>E21+Январь!F21</f>
        <v>0</v>
      </c>
      <c r="G21" s="10">
        <f t="shared" si="0"/>
        <v>0</v>
      </c>
      <c r="H21" s="11">
        <f t="shared" si="0"/>
        <v>0</v>
      </c>
      <c r="I21" s="11"/>
      <c r="J21" s="11">
        <f>I21+Январь!J21</f>
        <v>0</v>
      </c>
      <c r="K21" s="10"/>
      <c r="L21" s="10">
        <f>K21+Январь!L21</f>
        <v>0</v>
      </c>
    </row>
    <row r="22" spans="1:12" ht="12.75">
      <c r="A22" s="1">
        <f t="shared" si="1"/>
        <v>20</v>
      </c>
      <c r="B22" s="8"/>
      <c r="C22" s="10"/>
      <c r="D22" s="10">
        <f>C22+Январь!D22</f>
        <v>0</v>
      </c>
      <c r="E22" s="11"/>
      <c r="F22" s="10">
        <f>E22+Январь!F22</f>
        <v>0</v>
      </c>
      <c r="G22" s="10">
        <f t="shared" si="0"/>
        <v>0</v>
      </c>
      <c r="H22" s="11">
        <f t="shared" si="0"/>
        <v>0</v>
      </c>
      <c r="I22" s="11"/>
      <c r="J22" s="11">
        <f>I22+Январь!J22</f>
        <v>0</v>
      </c>
      <c r="K22" s="10"/>
      <c r="L22" s="10">
        <f>K22+Январь!L22</f>
        <v>0</v>
      </c>
    </row>
    <row r="23" spans="1:12" ht="12.75">
      <c r="A23" s="1"/>
      <c r="B23" s="8" t="s">
        <v>13</v>
      </c>
      <c r="C23" s="10">
        <f aca="true" t="shared" si="2" ref="C23:L23">SUM(C3:C22)</f>
        <v>503369.4600000001</v>
      </c>
      <c r="D23" s="10">
        <f t="shared" si="2"/>
        <v>1464382.38</v>
      </c>
      <c r="E23" s="11">
        <f t="shared" si="2"/>
        <v>389641.4699999999</v>
      </c>
      <c r="F23" s="10">
        <f t="shared" si="2"/>
        <v>819889.7000000001</v>
      </c>
      <c r="G23" s="10">
        <f t="shared" si="2"/>
        <v>-113727.98999999999</v>
      </c>
      <c r="H23" s="11">
        <f t="shared" si="2"/>
        <v>-644492.68</v>
      </c>
      <c r="I23" s="11">
        <f t="shared" si="2"/>
        <v>299368.17</v>
      </c>
      <c r="J23" s="11">
        <f t="shared" si="2"/>
        <v>923794.74</v>
      </c>
      <c r="K23" s="10">
        <f t="shared" si="2"/>
        <v>83614.40000000001</v>
      </c>
      <c r="L23" s="10">
        <f t="shared" si="2"/>
        <v>83614.40000000001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4.8515625" style="0" customWidth="1"/>
    <col min="2" max="2" width="25.421875" style="0" customWidth="1"/>
    <col min="3" max="3" width="10.140625" style="0" customWidth="1"/>
    <col min="4" max="4" width="11.7109375" style="0" customWidth="1"/>
    <col min="5" max="5" width="10.8515625" style="0" customWidth="1"/>
    <col min="6" max="8" width="11.140625" style="0" customWidth="1"/>
    <col min="9" max="9" width="10.57421875" style="0" customWidth="1"/>
    <col min="10" max="10" width="11.7109375" style="0" customWidth="1"/>
    <col min="11" max="11" width="10.7109375" style="0" customWidth="1"/>
    <col min="12" max="12" width="11.28125" style="0" customWidth="1"/>
  </cols>
  <sheetData>
    <row r="2" spans="1:12" ht="12.75">
      <c r="A2" s="1" t="s">
        <v>0</v>
      </c>
      <c r="B2" s="6" t="s">
        <v>1</v>
      </c>
      <c r="C2" s="5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6" t="s">
        <v>10</v>
      </c>
      <c r="L2" s="6" t="s">
        <v>11</v>
      </c>
    </row>
    <row r="3" spans="1:12" ht="15.75">
      <c r="A3" s="1">
        <v>1</v>
      </c>
      <c r="B3" s="17" t="s">
        <v>15</v>
      </c>
      <c r="C3" s="10">
        <f>27054.06+21334.24</f>
        <v>48388.3</v>
      </c>
      <c r="D3" s="10">
        <f>C3+февраль!D3</f>
        <v>191849.66999999998</v>
      </c>
      <c r="E3" s="11">
        <f>29350.87+15668.29</f>
        <v>45019.16</v>
      </c>
      <c r="F3" s="10">
        <f>E3+февраль!F3</f>
        <v>126715.02</v>
      </c>
      <c r="G3" s="10">
        <f>E3-C3</f>
        <v>-3369.1399999999994</v>
      </c>
      <c r="H3" s="11">
        <f>F3-D3</f>
        <v>-65134.64999999998</v>
      </c>
      <c r="I3" s="11"/>
      <c r="J3" s="11">
        <f>I3+февраль!J3</f>
        <v>0</v>
      </c>
      <c r="K3" s="10"/>
      <c r="L3" s="10">
        <f>K3+февраль!L3</f>
        <v>0</v>
      </c>
    </row>
    <row r="4" spans="1:12" ht="15.75">
      <c r="A4" s="1">
        <f>A3+1</f>
        <v>2</v>
      </c>
      <c r="B4" s="17" t="s">
        <v>16</v>
      </c>
      <c r="C4" s="10">
        <f>67487.96+52245.94</f>
        <v>119733.90000000001</v>
      </c>
      <c r="D4" s="10">
        <f>C4+февраль!D4</f>
        <v>461376.13</v>
      </c>
      <c r="E4" s="11">
        <f>72119.53+38417.31</f>
        <v>110536.84</v>
      </c>
      <c r="F4" s="10">
        <f>E4+февраль!F4</f>
        <v>303695.20999999996</v>
      </c>
      <c r="G4" s="10">
        <f aca="true" t="shared" si="0" ref="G4:H22">E4-C4</f>
        <v>-9197.060000000012</v>
      </c>
      <c r="H4" s="11">
        <f t="shared" si="0"/>
        <v>-157680.92000000004</v>
      </c>
      <c r="I4" s="11"/>
      <c r="J4" s="11">
        <f>I4+февраль!J4</f>
        <v>170499.28</v>
      </c>
      <c r="K4" s="10"/>
      <c r="L4" s="10">
        <f>K4+февраль!L4</f>
        <v>0</v>
      </c>
    </row>
    <row r="5" spans="1:12" ht="15.75">
      <c r="A5" s="1">
        <f aca="true" t="shared" si="1" ref="A5:A22">A4+1</f>
        <v>3</v>
      </c>
      <c r="B5" s="17" t="s">
        <v>18</v>
      </c>
      <c r="C5" s="10">
        <f>59935.1+39460.67</f>
        <v>99395.76999999999</v>
      </c>
      <c r="D5" s="10">
        <f>C5+февраль!D5</f>
        <v>389444.80000000005</v>
      </c>
      <c r="E5" s="11">
        <f>65782.97+28796.42</f>
        <v>94579.39</v>
      </c>
      <c r="F5" s="10">
        <f>E5+февраль!F5</f>
        <v>254507.75</v>
      </c>
      <c r="G5" s="10">
        <f t="shared" si="0"/>
        <v>-4816.37999999999</v>
      </c>
      <c r="H5" s="11">
        <f t="shared" si="0"/>
        <v>-134937.05000000005</v>
      </c>
      <c r="I5" s="11"/>
      <c r="J5" s="11">
        <f>I5+февраль!J5</f>
        <v>90645.82</v>
      </c>
      <c r="K5" s="10"/>
      <c r="L5" s="10">
        <f>K5+февраль!L5</f>
        <v>0</v>
      </c>
    </row>
    <row r="6" spans="1:12" ht="15.75">
      <c r="A6" s="1">
        <f t="shared" si="1"/>
        <v>4</v>
      </c>
      <c r="B6" s="17" t="s">
        <v>19</v>
      </c>
      <c r="C6" s="10">
        <f>7629.11+5108</f>
        <v>12737.11</v>
      </c>
      <c r="D6" s="10">
        <f>C6+февраль!D6</f>
        <v>50486.69</v>
      </c>
      <c r="E6" s="11">
        <f>8356.88+3726.78</f>
        <v>12083.66</v>
      </c>
      <c r="F6" s="10">
        <f>E6+февраль!F6</f>
        <v>32934.93</v>
      </c>
      <c r="G6" s="10">
        <f t="shared" si="0"/>
        <v>-653.4500000000007</v>
      </c>
      <c r="H6" s="11">
        <f t="shared" si="0"/>
        <v>-17551.760000000002</v>
      </c>
      <c r="I6" s="11"/>
      <c r="J6" s="11">
        <f>I6+февраль!J6</f>
        <v>0</v>
      </c>
      <c r="K6" s="10"/>
      <c r="L6" s="10">
        <f>K6+февраль!L6</f>
        <v>0</v>
      </c>
    </row>
    <row r="7" spans="1:12" ht="15.75">
      <c r="A7" s="1">
        <f t="shared" si="1"/>
        <v>5</v>
      </c>
      <c r="B7" s="18" t="s">
        <v>20</v>
      </c>
      <c r="C7" s="10">
        <f>4351.63+3431.56</f>
        <v>7783.1900000000005</v>
      </c>
      <c r="D7" s="10">
        <f>C7+февраль!D7</f>
        <v>30857.75</v>
      </c>
      <c r="E7" s="11">
        <f>4720.81+2520.23</f>
        <v>7241.040000000001</v>
      </c>
      <c r="F7" s="10">
        <f>E7+февраль!F7</f>
        <v>20381.63</v>
      </c>
      <c r="G7" s="10">
        <f t="shared" si="0"/>
        <v>-542.1499999999996</v>
      </c>
      <c r="H7" s="11">
        <f t="shared" si="0"/>
        <v>-10476.119999999999</v>
      </c>
      <c r="I7" s="11"/>
      <c r="J7" s="11">
        <f>I7+февраль!J7</f>
        <v>0</v>
      </c>
      <c r="K7" s="10"/>
      <c r="L7" s="10">
        <f>K7+февраль!L7</f>
        <v>0</v>
      </c>
    </row>
    <row r="8" spans="1:12" ht="15.75">
      <c r="A8" s="1">
        <f t="shared" si="1"/>
        <v>6</v>
      </c>
      <c r="B8" s="17" t="s">
        <v>30</v>
      </c>
      <c r="C8" s="10"/>
      <c r="D8" s="10">
        <f>C8+февраль!D8</f>
        <v>0</v>
      </c>
      <c r="E8" s="11"/>
      <c r="F8" s="10">
        <f>E8+февраль!F8</f>
        <v>0</v>
      </c>
      <c r="G8" s="10">
        <f t="shared" si="0"/>
        <v>0</v>
      </c>
      <c r="H8" s="11">
        <f t="shared" si="0"/>
        <v>0</v>
      </c>
      <c r="I8" s="11"/>
      <c r="J8" s="11">
        <f>I8+февраль!J8</f>
        <v>0</v>
      </c>
      <c r="K8" s="10"/>
      <c r="L8" s="10">
        <f>K8+февраль!L8</f>
        <v>0</v>
      </c>
    </row>
    <row r="9" spans="1:12" ht="15.75">
      <c r="A9" s="1">
        <f t="shared" si="1"/>
        <v>7</v>
      </c>
      <c r="B9" s="17" t="s">
        <v>21</v>
      </c>
      <c r="C9" s="10">
        <f>43399.43+31232.4</f>
        <v>74631.83</v>
      </c>
      <c r="D9" s="10">
        <f>C9+февраль!D9</f>
        <v>296659.75</v>
      </c>
      <c r="E9" s="11">
        <f>48055.14+23425.65</f>
        <v>71480.79000000001</v>
      </c>
      <c r="F9" s="10">
        <f>E9+февраль!F9</f>
        <v>196999.15000000002</v>
      </c>
      <c r="G9" s="10">
        <f t="shared" si="0"/>
        <v>-3151.0399999999936</v>
      </c>
      <c r="H9" s="11">
        <f t="shared" si="0"/>
        <v>-99660.59999999998</v>
      </c>
      <c r="I9" s="11">
        <v>104869.2</v>
      </c>
      <c r="J9" s="11">
        <f>I9+февраль!J9</f>
        <v>585240.7999999999</v>
      </c>
      <c r="K9" s="10">
        <v>59431.05</v>
      </c>
      <c r="L9" s="10">
        <f>K9+февраль!L9</f>
        <v>59431.05</v>
      </c>
    </row>
    <row r="10" spans="1:12" ht="15.75">
      <c r="A10" s="1">
        <f t="shared" si="1"/>
        <v>8</v>
      </c>
      <c r="B10" s="17" t="s">
        <v>22</v>
      </c>
      <c r="C10" s="10">
        <f>21951.08+14545.86</f>
        <v>36496.94</v>
      </c>
      <c r="D10" s="10">
        <f>C10+февраль!D10</f>
        <v>145623.16</v>
      </c>
      <c r="E10" s="11">
        <f>16118.36+5128.46</f>
        <v>21246.82</v>
      </c>
      <c r="F10" s="10">
        <f>E10+февраль!F10</f>
        <v>81175.04000000001</v>
      </c>
      <c r="G10" s="10">
        <f t="shared" si="0"/>
        <v>-15250.120000000003</v>
      </c>
      <c r="H10" s="11">
        <f t="shared" si="0"/>
        <v>-64448.119999999995</v>
      </c>
      <c r="I10" s="11">
        <v>38883.64</v>
      </c>
      <c r="J10" s="11">
        <f>I10+февраль!J10</f>
        <v>104891.14</v>
      </c>
      <c r="K10" s="10">
        <v>36003.71</v>
      </c>
      <c r="L10" s="10">
        <f>K10+февраль!L10</f>
        <v>66007.5</v>
      </c>
    </row>
    <row r="11" spans="1:12" ht="15.75">
      <c r="A11" s="1">
        <f t="shared" si="1"/>
        <v>9</v>
      </c>
      <c r="B11" s="17" t="s">
        <v>23</v>
      </c>
      <c r="C11" s="10">
        <f>21951.07+14545.86</f>
        <v>36496.93</v>
      </c>
      <c r="D11" s="10">
        <f>C11+февраль!D11</f>
        <v>145623.15</v>
      </c>
      <c r="E11" s="11">
        <f>16118.38+5128.46</f>
        <v>21246.84</v>
      </c>
      <c r="F11" s="10">
        <f>E11+февраль!F11</f>
        <v>81175.06999999999</v>
      </c>
      <c r="G11" s="10">
        <f t="shared" si="0"/>
        <v>-15250.09</v>
      </c>
      <c r="H11" s="11">
        <f t="shared" si="0"/>
        <v>-64448.08</v>
      </c>
      <c r="I11" s="11">
        <v>38883.64</v>
      </c>
      <c r="J11" s="11">
        <f>I11+февраль!J11</f>
        <v>104891.14</v>
      </c>
      <c r="K11" s="10">
        <v>36003.71</v>
      </c>
      <c r="L11" s="10">
        <f>K11+февраль!L11</f>
        <v>66007.5</v>
      </c>
    </row>
    <row r="12" spans="1:12" ht="15.75">
      <c r="A12" s="1">
        <f t="shared" si="1"/>
        <v>10</v>
      </c>
      <c r="B12" s="17" t="s">
        <v>24</v>
      </c>
      <c r="C12" s="10">
        <f>14996.53+9914.56</f>
        <v>24911.09</v>
      </c>
      <c r="D12" s="10">
        <f>C12+февраль!D12</f>
        <v>96222</v>
      </c>
      <c r="E12" s="11">
        <f>16429.83+7179.73</f>
        <v>23609.56</v>
      </c>
      <c r="F12" s="10">
        <f>E12+февраль!F12</f>
        <v>62783.71000000001</v>
      </c>
      <c r="G12" s="10">
        <f t="shared" si="0"/>
        <v>-1301.5299999999988</v>
      </c>
      <c r="H12" s="11">
        <f t="shared" si="0"/>
        <v>-33438.28999999999</v>
      </c>
      <c r="I12" s="11">
        <v>21656.22</v>
      </c>
      <c r="J12" s="11">
        <f>I12+февраль!J12</f>
        <v>61356.600000000006</v>
      </c>
      <c r="K12" s="10">
        <v>21656.22</v>
      </c>
      <c r="L12" s="10">
        <f>K12+февраль!L12</f>
        <v>39700.380000000005</v>
      </c>
    </row>
    <row r="13" spans="1:12" ht="15.75">
      <c r="A13" s="1">
        <f t="shared" si="1"/>
        <v>11</v>
      </c>
      <c r="B13" s="17" t="s">
        <v>25</v>
      </c>
      <c r="C13" s="10">
        <f>16731.61+13194.28</f>
        <v>29925.89</v>
      </c>
      <c r="D13" s="10">
        <f>C13+февраль!D13</f>
        <v>118650.01000000001</v>
      </c>
      <c r="E13" s="11">
        <f>18152.08+9690.1</f>
        <v>27842.18</v>
      </c>
      <c r="F13" s="10">
        <f>E13+февраль!F13</f>
        <v>78367.26999999999</v>
      </c>
      <c r="G13" s="10">
        <f t="shared" si="0"/>
        <v>-2083.709999999999</v>
      </c>
      <c r="H13" s="11">
        <f t="shared" si="0"/>
        <v>-40282.74000000002</v>
      </c>
      <c r="I13" s="11"/>
      <c r="J13" s="11">
        <f>I13+февраль!J13</f>
        <v>0</v>
      </c>
      <c r="K13" s="10"/>
      <c r="L13" s="10">
        <f>K13+февраль!L13</f>
        <v>0</v>
      </c>
    </row>
    <row r="14" spans="1:12" ht="15.75">
      <c r="A14" s="1">
        <f t="shared" si="1"/>
        <v>12</v>
      </c>
      <c r="B14" s="17" t="s">
        <v>26</v>
      </c>
      <c r="C14" s="10">
        <f>3922.95+3138.93</f>
        <v>7061.879999999999</v>
      </c>
      <c r="D14" s="10">
        <f>C14+февраль!D14</f>
        <v>27996.89</v>
      </c>
      <c r="E14" s="11">
        <f>4256.93+2305.28</f>
        <v>6562.210000000001</v>
      </c>
      <c r="F14" s="10">
        <f>E14+февраль!F14</f>
        <v>18528.88</v>
      </c>
      <c r="G14" s="10">
        <f t="shared" si="0"/>
        <v>-499.66999999999825</v>
      </c>
      <c r="H14" s="11">
        <f t="shared" si="0"/>
        <v>-9468.009999999998</v>
      </c>
      <c r="I14" s="11"/>
      <c r="J14" s="11">
        <f>I14+февраль!J14</f>
        <v>0</v>
      </c>
      <c r="K14" s="10"/>
      <c r="L14" s="10">
        <f>K14+февраль!L14</f>
        <v>0</v>
      </c>
    </row>
    <row r="15" spans="1:12" ht="15.75">
      <c r="A15" s="1">
        <f t="shared" si="1"/>
        <v>13</v>
      </c>
      <c r="B15" s="17" t="s">
        <v>27</v>
      </c>
      <c r="C15" s="10">
        <f>1349.33+1064.06</f>
        <v>2413.39</v>
      </c>
      <c r="D15" s="10">
        <f>C15+февраль!D15</f>
        <v>9568.6</v>
      </c>
      <c r="E15" s="11">
        <f>1463.87+781.48</f>
        <v>2245.35</v>
      </c>
      <c r="F15" s="10">
        <f>E15+февраль!F15</f>
        <v>6319.879999999999</v>
      </c>
      <c r="G15" s="10">
        <f t="shared" si="0"/>
        <v>-168.03999999999996</v>
      </c>
      <c r="H15" s="11">
        <f t="shared" si="0"/>
        <v>-3248.720000000001</v>
      </c>
      <c r="I15" s="11"/>
      <c r="J15" s="11">
        <f>I15+февраль!J15</f>
        <v>0</v>
      </c>
      <c r="K15" s="10"/>
      <c r="L15" s="10">
        <f>K15+февраль!L15</f>
        <v>0</v>
      </c>
    </row>
    <row r="16" spans="1:12" ht="15.75">
      <c r="A16" s="1">
        <f t="shared" si="1"/>
        <v>14</v>
      </c>
      <c r="B16" s="17" t="s">
        <v>28</v>
      </c>
      <c r="C16" s="10"/>
      <c r="D16" s="10">
        <f>C16+февраль!D16</f>
        <v>0</v>
      </c>
      <c r="E16" s="11"/>
      <c r="F16" s="10">
        <f>E16+февраль!F16</f>
        <v>0</v>
      </c>
      <c r="G16" s="10">
        <f t="shared" si="0"/>
        <v>0</v>
      </c>
      <c r="H16" s="11">
        <f t="shared" si="0"/>
        <v>0</v>
      </c>
      <c r="I16" s="11"/>
      <c r="J16" s="11">
        <f>I16+февраль!J16</f>
        <v>0</v>
      </c>
      <c r="K16" s="10"/>
      <c r="L16" s="10">
        <f>K16+февраль!L16</f>
        <v>0</v>
      </c>
    </row>
    <row r="17" spans="1:12" ht="15.75">
      <c r="A17" s="1">
        <f t="shared" si="1"/>
        <v>15</v>
      </c>
      <c r="B17" s="17" t="s">
        <v>29</v>
      </c>
      <c r="C17" s="10"/>
      <c r="D17" s="10">
        <f>C17+февраль!D17</f>
        <v>0</v>
      </c>
      <c r="E17" s="11"/>
      <c r="F17" s="10">
        <f>E17+февраль!F17</f>
        <v>0</v>
      </c>
      <c r="G17" s="10">
        <f t="shared" si="0"/>
        <v>0</v>
      </c>
      <c r="H17" s="11">
        <f t="shared" si="0"/>
        <v>0</v>
      </c>
      <c r="I17" s="11"/>
      <c r="J17" s="11">
        <f>I17+февраль!J17</f>
        <v>0</v>
      </c>
      <c r="K17" s="10"/>
      <c r="L17" s="10">
        <f>K17+февраль!L17</f>
        <v>0</v>
      </c>
    </row>
    <row r="18" spans="1:12" ht="12.75">
      <c r="A18" s="1">
        <f t="shared" si="1"/>
        <v>16</v>
      </c>
      <c r="B18" s="8" t="s">
        <v>31</v>
      </c>
      <c r="C18" s="10"/>
      <c r="D18" s="10">
        <f>C18+февраль!D18</f>
        <v>0</v>
      </c>
      <c r="E18" s="11"/>
      <c r="F18" s="10">
        <f>E18+февраль!F18</f>
        <v>0</v>
      </c>
      <c r="G18" s="10">
        <f t="shared" si="0"/>
        <v>0</v>
      </c>
      <c r="H18" s="11">
        <f t="shared" si="0"/>
        <v>0</v>
      </c>
      <c r="I18" s="11">
        <v>2508.09</v>
      </c>
      <c r="J18" s="11">
        <f>I18+февраль!J18</f>
        <v>7524.27</v>
      </c>
      <c r="K18" s="10">
        <f>I18</f>
        <v>2508.09</v>
      </c>
      <c r="L18" s="10">
        <f>K18+февраль!L18</f>
        <v>7524.27</v>
      </c>
    </row>
    <row r="19" spans="1:12" ht="12.75">
      <c r="A19" s="1">
        <f t="shared" si="1"/>
        <v>17</v>
      </c>
      <c r="B19" s="13" t="s">
        <v>32</v>
      </c>
      <c r="C19" s="10"/>
      <c r="D19" s="10">
        <f>C19+февраль!D19</f>
        <v>0</v>
      </c>
      <c r="E19" s="11"/>
      <c r="F19" s="10">
        <f>E19+февраль!F19</f>
        <v>0</v>
      </c>
      <c r="G19" s="10">
        <f t="shared" si="0"/>
        <v>0</v>
      </c>
      <c r="H19" s="11">
        <f t="shared" si="0"/>
        <v>0</v>
      </c>
      <c r="I19" s="11">
        <v>546.48</v>
      </c>
      <c r="J19" s="11">
        <f>I19+февраль!J19</f>
        <v>1092.96</v>
      </c>
      <c r="K19" s="11">
        <v>546.48</v>
      </c>
      <c r="L19" s="10">
        <f>K19+февраль!L19</f>
        <v>1092.96</v>
      </c>
    </row>
    <row r="20" spans="1:12" ht="12.75">
      <c r="A20" s="1">
        <f t="shared" si="1"/>
        <v>18</v>
      </c>
      <c r="B20" s="13" t="s">
        <v>33</v>
      </c>
      <c r="C20" s="10"/>
      <c r="D20" s="10">
        <f>C20+февраль!D20</f>
        <v>0</v>
      </c>
      <c r="E20" s="11"/>
      <c r="F20" s="10">
        <f>E20+февраль!F20</f>
        <v>0</v>
      </c>
      <c r="G20" s="10">
        <f t="shared" si="0"/>
        <v>0</v>
      </c>
      <c r="H20" s="11">
        <f t="shared" si="0"/>
        <v>0</v>
      </c>
      <c r="I20" s="11">
        <v>2500</v>
      </c>
      <c r="J20" s="11">
        <f>I20+февраль!J20</f>
        <v>7500</v>
      </c>
      <c r="K20" s="10"/>
      <c r="L20" s="10">
        <f>K20+февраль!L20</f>
        <v>0</v>
      </c>
    </row>
    <row r="21" spans="1:12" ht="12.75">
      <c r="A21" s="1">
        <f t="shared" si="1"/>
        <v>19</v>
      </c>
      <c r="B21" s="8"/>
      <c r="C21" s="10"/>
      <c r="D21" s="10">
        <f>C21+февраль!D21</f>
        <v>0</v>
      </c>
      <c r="E21" s="11"/>
      <c r="F21" s="10">
        <f>E21+февраль!F21</f>
        <v>0</v>
      </c>
      <c r="G21" s="10">
        <f t="shared" si="0"/>
        <v>0</v>
      </c>
      <c r="H21" s="11">
        <f t="shared" si="0"/>
        <v>0</v>
      </c>
      <c r="I21" s="11"/>
      <c r="J21" s="11">
        <f>I21+февраль!J21</f>
        <v>0</v>
      </c>
      <c r="K21" s="10"/>
      <c r="L21" s="10">
        <f>K21+февраль!L21</f>
        <v>0</v>
      </c>
    </row>
    <row r="22" spans="1:12" ht="12.75">
      <c r="A22" s="1">
        <f t="shared" si="1"/>
        <v>20</v>
      </c>
      <c r="B22" s="8"/>
      <c r="C22" s="10"/>
      <c r="D22" s="10">
        <f>C22+февраль!D22</f>
        <v>0</v>
      </c>
      <c r="E22" s="11"/>
      <c r="F22" s="10">
        <f>E22+февраль!F22</f>
        <v>0</v>
      </c>
      <c r="G22" s="10">
        <f t="shared" si="0"/>
        <v>0</v>
      </c>
      <c r="H22" s="11">
        <f t="shared" si="0"/>
        <v>0</v>
      </c>
      <c r="I22" s="11"/>
      <c r="J22" s="11">
        <f>I22+февраль!J22</f>
        <v>0</v>
      </c>
      <c r="K22" s="10"/>
      <c r="L22" s="10">
        <f>K22+февраль!L22</f>
        <v>0</v>
      </c>
    </row>
    <row r="23" spans="1:12" ht="12.75">
      <c r="A23" s="1"/>
      <c r="B23" s="8" t="s">
        <v>13</v>
      </c>
      <c r="C23" s="10">
        <f aca="true" t="shared" si="2" ref="C23:L23">SUM(C3:C22)</f>
        <v>499976.22000000003</v>
      </c>
      <c r="D23" s="10">
        <f t="shared" si="2"/>
        <v>1964358.5999999999</v>
      </c>
      <c r="E23" s="11">
        <f t="shared" si="2"/>
        <v>443693.84</v>
      </c>
      <c r="F23" s="10">
        <f t="shared" si="2"/>
        <v>1263583.5399999998</v>
      </c>
      <c r="G23" s="10">
        <f t="shared" si="2"/>
        <v>-56282.37999999999</v>
      </c>
      <c r="H23" s="11">
        <f t="shared" si="2"/>
        <v>-700775.0599999999</v>
      </c>
      <c r="I23" s="11">
        <f t="shared" si="2"/>
        <v>209847.27</v>
      </c>
      <c r="J23" s="11">
        <f t="shared" si="2"/>
        <v>1133642.01</v>
      </c>
      <c r="K23" s="10">
        <f t="shared" si="2"/>
        <v>156149.26</v>
      </c>
      <c r="L23" s="10">
        <f t="shared" si="2"/>
        <v>239763.65999999997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4.8515625" style="0" customWidth="1"/>
    <col min="2" max="2" width="27.140625" style="0" customWidth="1"/>
    <col min="3" max="3" width="10.421875" style="0" customWidth="1"/>
    <col min="4" max="4" width="10.8515625" style="0" customWidth="1"/>
    <col min="5" max="5" width="10.7109375" style="0" customWidth="1"/>
    <col min="6" max="6" width="11.421875" style="0" customWidth="1"/>
    <col min="7" max="7" width="11.00390625" style="0" customWidth="1"/>
    <col min="8" max="8" width="11.8515625" style="0" customWidth="1"/>
    <col min="9" max="9" width="10.8515625" style="0" customWidth="1"/>
    <col min="10" max="10" width="11.140625" style="0" customWidth="1"/>
    <col min="11" max="11" width="10.140625" style="0" bestFit="1" customWidth="1"/>
    <col min="12" max="12" width="10.00390625" style="0" customWidth="1"/>
  </cols>
  <sheetData>
    <row r="2" ht="12.75">
      <c r="B2" s="15" t="s">
        <v>14</v>
      </c>
    </row>
    <row r="4" spans="1:12" ht="12.75">
      <c r="A4" s="1" t="s">
        <v>0</v>
      </c>
      <c r="B4" s="6" t="s">
        <v>1</v>
      </c>
      <c r="C4" s="5" t="s">
        <v>2</v>
      </c>
      <c r="D4" s="6" t="s">
        <v>3</v>
      </c>
      <c r="E4" s="7" t="s">
        <v>4</v>
      </c>
      <c r="F4" s="6" t="s">
        <v>5</v>
      </c>
      <c r="G4" s="6" t="s">
        <v>6</v>
      </c>
      <c r="H4" s="7" t="s">
        <v>7</v>
      </c>
      <c r="I4" s="7" t="s">
        <v>8</v>
      </c>
      <c r="J4" s="7" t="s">
        <v>9</v>
      </c>
      <c r="K4" s="6" t="s">
        <v>10</v>
      </c>
      <c r="L4" s="6" t="s">
        <v>11</v>
      </c>
    </row>
    <row r="5" spans="1:12" ht="15.75">
      <c r="A5" s="1">
        <v>1</v>
      </c>
      <c r="B5" s="17" t="s">
        <v>15</v>
      </c>
      <c r="C5" s="10">
        <f>31390.93+17154.88</f>
        <v>48545.81</v>
      </c>
      <c r="D5" s="10">
        <f>C5+март!D3</f>
        <v>240395.47999999998</v>
      </c>
      <c r="E5" s="11">
        <f>29568.68+15203.71</f>
        <v>44772.39</v>
      </c>
      <c r="F5" s="10">
        <f>E5+март!F3</f>
        <v>171487.41</v>
      </c>
      <c r="G5" s="10">
        <f>E5-C5</f>
        <v>-3773.4199999999983</v>
      </c>
      <c r="H5" s="11">
        <f>F5-D5</f>
        <v>-68908.06999999998</v>
      </c>
      <c r="I5" s="11"/>
      <c r="J5" s="11">
        <f>I5+март!J3</f>
        <v>0</v>
      </c>
      <c r="K5" s="10"/>
      <c r="L5" s="10">
        <f>K5+март!L3</f>
        <v>0</v>
      </c>
    </row>
    <row r="6" spans="1:12" ht="15.75">
      <c r="A6" s="1">
        <f>A5+1</f>
        <v>2</v>
      </c>
      <c r="B6" s="17" t="s">
        <v>16</v>
      </c>
      <c r="C6" s="10">
        <f>77675.01+42448.65</f>
        <v>120123.66</v>
      </c>
      <c r="D6" s="10">
        <f>C6+март!D4</f>
        <v>581499.79</v>
      </c>
      <c r="E6" s="11">
        <f>72884.22+37243.82</f>
        <v>110128.04000000001</v>
      </c>
      <c r="F6" s="10">
        <f>E6+март!F4</f>
        <v>413823.25</v>
      </c>
      <c r="G6" s="10">
        <f aca="true" t="shared" si="0" ref="G6:H24">E6-C6</f>
        <v>-9995.619999999995</v>
      </c>
      <c r="H6" s="11">
        <f t="shared" si="0"/>
        <v>-167676.54000000004</v>
      </c>
      <c r="I6" s="11"/>
      <c r="J6" s="11">
        <f>I6+март!J4</f>
        <v>170499.28</v>
      </c>
      <c r="K6" s="10">
        <v>170499.28</v>
      </c>
      <c r="L6" s="10">
        <f>K6+март!L4</f>
        <v>170499.28</v>
      </c>
    </row>
    <row r="7" spans="1:12" ht="15.75">
      <c r="A7" s="1">
        <f aca="true" t="shared" si="1" ref="A7:A24">A6+1</f>
        <v>3</v>
      </c>
      <c r="B7" s="17" t="s">
        <v>18</v>
      </c>
      <c r="C7" s="10">
        <f>68437.76+29942.24</f>
        <v>98380</v>
      </c>
      <c r="D7" s="10">
        <f>C7+март!D5</f>
        <v>487824.80000000005</v>
      </c>
      <c r="E7" s="11">
        <f>61896.94+27172.78</f>
        <v>89069.72</v>
      </c>
      <c r="F7" s="10">
        <f>E7+март!F5</f>
        <v>343577.47</v>
      </c>
      <c r="G7" s="10">
        <f t="shared" si="0"/>
        <v>-9310.279999999999</v>
      </c>
      <c r="H7" s="11">
        <f t="shared" si="0"/>
        <v>-144247.33000000007</v>
      </c>
      <c r="I7" s="11"/>
      <c r="J7" s="11">
        <f>I7+март!J5</f>
        <v>90645.82</v>
      </c>
      <c r="K7" s="10">
        <v>90645.82</v>
      </c>
      <c r="L7" s="10">
        <f>K7+март!L5</f>
        <v>90645.82</v>
      </c>
    </row>
    <row r="8" spans="1:12" ht="15.75">
      <c r="A8" s="1">
        <f t="shared" si="1"/>
        <v>4</v>
      </c>
      <c r="B8" s="17" t="s">
        <v>19</v>
      </c>
      <c r="C8" s="10">
        <f>9362.83+4136.74</f>
        <v>13499.57</v>
      </c>
      <c r="D8" s="10">
        <f>C8+март!D6</f>
        <v>63986.26</v>
      </c>
      <c r="E8" s="11">
        <f>8209.9+3642.79</f>
        <v>11852.689999999999</v>
      </c>
      <c r="F8" s="10">
        <f>E8+март!F6</f>
        <v>44787.619999999995</v>
      </c>
      <c r="G8" s="10">
        <f t="shared" si="0"/>
        <v>-1646.880000000001</v>
      </c>
      <c r="H8" s="11">
        <f t="shared" si="0"/>
        <v>-19198.640000000007</v>
      </c>
      <c r="I8" s="11"/>
      <c r="J8" s="11">
        <f>I8+март!J6</f>
        <v>0</v>
      </c>
      <c r="K8" s="10"/>
      <c r="L8" s="10">
        <f>K8+март!L6</f>
        <v>0</v>
      </c>
    </row>
    <row r="9" spans="1:12" ht="15.75">
      <c r="A9" s="1">
        <f t="shared" si="1"/>
        <v>5</v>
      </c>
      <c r="B9" s="18" t="s">
        <v>20</v>
      </c>
      <c r="C9" s="10">
        <f>5049.22+2759.31</f>
        <v>7808.530000000001</v>
      </c>
      <c r="D9" s="10">
        <f>C9+март!D7</f>
        <v>38666.28</v>
      </c>
      <c r="E9" s="11">
        <f>4755.36+2445.48</f>
        <v>7200.84</v>
      </c>
      <c r="F9" s="10">
        <f>E9+март!F7</f>
        <v>27582.47</v>
      </c>
      <c r="G9" s="10">
        <f t="shared" si="0"/>
        <v>-607.6900000000005</v>
      </c>
      <c r="H9" s="11">
        <f t="shared" si="0"/>
        <v>-11083.809999999998</v>
      </c>
      <c r="I9" s="11"/>
      <c r="J9" s="11">
        <f>I9+март!J7</f>
        <v>0</v>
      </c>
      <c r="K9" s="10"/>
      <c r="L9" s="10">
        <f>K9+март!L7</f>
        <v>0</v>
      </c>
    </row>
    <row r="10" spans="1:12" ht="15.75">
      <c r="A10" s="1">
        <f t="shared" si="1"/>
        <v>6</v>
      </c>
      <c r="B10" s="17" t="s">
        <v>30</v>
      </c>
      <c r="C10" s="10">
        <f>0</f>
        <v>0</v>
      </c>
      <c r="D10" s="10">
        <f>C10+март!D8</f>
        <v>0</v>
      </c>
      <c r="E10" s="11">
        <v>0</v>
      </c>
      <c r="F10" s="10">
        <f>E10+март!F8</f>
        <v>0</v>
      </c>
      <c r="G10" s="10">
        <f t="shared" si="0"/>
        <v>0</v>
      </c>
      <c r="H10" s="11">
        <f t="shared" si="0"/>
        <v>0</v>
      </c>
      <c r="I10" s="11"/>
      <c r="J10" s="11">
        <f>I10+март!J8</f>
        <v>0</v>
      </c>
      <c r="K10" s="10"/>
      <c r="L10" s="10">
        <f>K10+март!L8</f>
        <v>0</v>
      </c>
    </row>
    <row r="11" spans="1:12" ht="15.75">
      <c r="A11" s="1">
        <f t="shared" si="1"/>
        <v>7</v>
      </c>
      <c r="B11" s="17" t="s">
        <v>21</v>
      </c>
      <c r="C11" s="10">
        <f>93126.72+40306.85</f>
        <v>133433.57</v>
      </c>
      <c r="D11" s="10">
        <f>C11+март!D9</f>
        <v>430093.32</v>
      </c>
      <c r="E11" s="11">
        <f>46978.45+24099.8</f>
        <v>71078.25</v>
      </c>
      <c r="F11" s="10">
        <f>E11+март!F9</f>
        <v>268077.4</v>
      </c>
      <c r="G11" s="10">
        <f t="shared" si="0"/>
        <v>-62355.32000000001</v>
      </c>
      <c r="H11" s="11">
        <f t="shared" si="0"/>
        <v>-162015.91999999998</v>
      </c>
      <c r="I11" s="11">
        <v>102171.6</v>
      </c>
      <c r="J11" s="11">
        <f>I11+март!J9</f>
        <v>687412.3999999999</v>
      </c>
      <c r="K11" s="10">
        <v>196184.92</v>
      </c>
      <c r="L11" s="10">
        <f>K11+март!L9</f>
        <v>255615.97000000003</v>
      </c>
    </row>
    <row r="12" spans="1:12" ht="15.75">
      <c r="A12" s="1">
        <f t="shared" si="1"/>
        <v>8</v>
      </c>
      <c r="B12" s="17" t="s">
        <v>22</v>
      </c>
      <c r="C12" s="10">
        <f>25147.73+11023.96</f>
        <v>36171.69</v>
      </c>
      <c r="D12" s="10">
        <f>C12+март!D10</f>
        <v>181794.85</v>
      </c>
      <c r="E12" s="11">
        <f>19110.91+9322.04</f>
        <v>28432.95</v>
      </c>
      <c r="F12" s="10">
        <f>E12+март!F10</f>
        <v>109607.99</v>
      </c>
      <c r="G12" s="10">
        <f t="shared" si="0"/>
        <v>-7738.740000000002</v>
      </c>
      <c r="H12" s="11">
        <f t="shared" si="0"/>
        <v>-72186.86</v>
      </c>
      <c r="I12" s="11">
        <v>26413.12</v>
      </c>
      <c r="J12" s="11">
        <f>I12+март!J10</f>
        <v>131304.26</v>
      </c>
      <c r="K12" s="10"/>
      <c r="L12" s="10">
        <f>K12+март!L10</f>
        <v>66007.5</v>
      </c>
    </row>
    <row r="13" spans="1:12" ht="15.75">
      <c r="A13" s="1">
        <f t="shared" si="1"/>
        <v>9</v>
      </c>
      <c r="B13" s="17" t="s">
        <v>23</v>
      </c>
      <c r="C13" s="10">
        <f>25147.73+11023.96</f>
        <v>36171.69</v>
      </c>
      <c r="D13" s="10">
        <f>C13+март!D11</f>
        <v>181794.84</v>
      </c>
      <c r="E13" s="11">
        <f>19110.91+9322.07</f>
        <v>28432.98</v>
      </c>
      <c r="F13" s="10">
        <f>E13+март!F11</f>
        <v>109608.04999999999</v>
      </c>
      <c r="G13" s="10">
        <f t="shared" si="0"/>
        <v>-7738.710000000003</v>
      </c>
      <c r="H13" s="11">
        <f t="shared" si="0"/>
        <v>-72186.79000000001</v>
      </c>
      <c r="I13" s="11">
        <v>26413.12</v>
      </c>
      <c r="J13" s="11">
        <f>I13+март!J11</f>
        <v>131304.26</v>
      </c>
      <c r="K13" s="10"/>
      <c r="L13" s="10">
        <f>K13+март!L11</f>
        <v>66007.5</v>
      </c>
    </row>
    <row r="14" spans="1:12" ht="15.75">
      <c r="A14" s="1">
        <f t="shared" si="1"/>
        <v>10</v>
      </c>
      <c r="B14" s="17" t="s">
        <v>24</v>
      </c>
      <c r="C14" s="10">
        <f>17149.55+7514.05</f>
        <v>24663.6</v>
      </c>
      <c r="D14" s="10">
        <f>C14+март!D12</f>
        <v>120885.6</v>
      </c>
      <c r="E14" s="11">
        <f>15474.69+6810.67</f>
        <v>22285.36</v>
      </c>
      <c r="F14" s="10">
        <f>E14+март!F12</f>
        <v>85069.07</v>
      </c>
      <c r="G14" s="10">
        <f t="shared" si="0"/>
        <v>-2378.239999999998</v>
      </c>
      <c r="H14" s="11">
        <f t="shared" si="0"/>
        <v>-35816.53</v>
      </c>
      <c r="I14" s="11">
        <v>20957.64</v>
      </c>
      <c r="J14" s="11">
        <f>I14+март!J12</f>
        <v>82314.24</v>
      </c>
      <c r="K14" s="10"/>
      <c r="L14" s="10">
        <f>K14+март!L12</f>
        <v>39700.380000000005</v>
      </c>
    </row>
    <row r="15" spans="1:12" ht="15.75">
      <c r="A15" s="1">
        <f t="shared" si="1"/>
        <v>11</v>
      </c>
      <c r="B15" s="17" t="s">
        <v>25</v>
      </c>
      <c r="C15" s="10">
        <f>19413.79+10772.79</f>
        <v>30186.58</v>
      </c>
      <c r="D15" s="10">
        <f>C15+март!D13</f>
        <v>148836.59000000003</v>
      </c>
      <c r="E15" s="11">
        <f>18286.8+9402.82</f>
        <v>27689.62</v>
      </c>
      <c r="F15" s="10">
        <f>E15+март!F13</f>
        <v>106056.88999999998</v>
      </c>
      <c r="G15" s="10">
        <f t="shared" si="0"/>
        <v>-2496.9600000000028</v>
      </c>
      <c r="H15" s="11">
        <f t="shared" si="0"/>
        <v>-42779.70000000004</v>
      </c>
      <c r="I15" s="11"/>
      <c r="J15" s="11">
        <f>I15+март!J13</f>
        <v>0</v>
      </c>
      <c r="K15" s="10"/>
      <c r="L15" s="10">
        <f>K15+март!L13</f>
        <v>0</v>
      </c>
    </row>
    <row r="16" spans="1:12" ht="15.75">
      <c r="A16" s="1">
        <f t="shared" si="1"/>
        <v>12</v>
      </c>
      <c r="B16" s="17" t="s">
        <v>26</v>
      </c>
      <c r="C16" s="10">
        <f>4561.04+2524.02</f>
        <v>7085.0599999999995</v>
      </c>
      <c r="D16" s="10">
        <f>C16+март!D14</f>
        <v>35081.95</v>
      </c>
      <c r="E16" s="11">
        <f>4209.17+2236.98</f>
        <v>6446.15</v>
      </c>
      <c r="F16" s="10">
        <f>E16+март!F14</f>
        <v>24975.03</v>
      </c>
      <c r="G16" s="10">
        <f t="shared" si="0"/>
        <v>-638.9099999999999</v>
      </c>
      <c r="H16" s="11">
        <f t="shared" si="0"/>
        <v>-10106.919999999998</v>
      </c>
      <c r="I16" s="11"/>
      <c r="J16" s="11">
        <f>I16+март!J14</f>
        <v>0</v>
      </c>
      <c r="K16" s="10"/>
      <c r="L16" s="10">
        <f>K16+март!L14</f>
        <v>0</v>
      </c>
    </row>
    <row r="17" spans="1:12" ht="15.75">
      <c r="A17" s="1">
        <f t="shared" si="1"/>
        <v>13</v>
      </c>
      <c r="B17" s="17" t="s">
        <v>27</v>
      </c>
      <c r="C17" s="10">
        <f>1565.66+855.59</f>
        <v>2421.25</v>
      </c>
      <c r="D17" s="10">
        <f>C17+март!D15</f>
        <v>11989.85</v>
      </c>
      <c r="E17" s="11">
        <f>1474.76+758.32</f>
        <v>2233.08</v>
      </c>
      <c r="F17" s="10">
        <f>E17+март!F15</f>
        <v>8552.96</v>
      </c>
      <c r="G17" s="10">
        <f t="shared" si="0"/>
        <v>-188.17000000000007</v>
      </c>
      <c r="H17" s="11">
        <f t="shared" si="0"/>
        <v>-3436.8900000000012</v>
      </c>
      <c r="I17" s="11"/>
      <c r="J17" s="11">
        <f>I17+март!J15</f>
        <v>0</v>
      </c>
      <c r="K17" s="10"/>
      <c r="L17" s="10">
        <f>K17+март!L15</f>
        <v>0</v>
      </c>
    </row>
    <row r="18" spans="1:12" ht="15.75">
      <c r="A18" s="1">
        <f t="shared" si="1"/>
        <v>14</v>
      </c>
      <c r="B18" s="17" t="s">
        <v>28</v>
      </c>
      <c r="C18" s="10"/>
      <c r="D18" s="10">
        <f>C18+март!D16</f>
        <v>0</v>
      </c>
      <c r="E18" s="11"/>
      <c r="F18" s="10">
        <f>E18+март!F16</f>
        <v>0</v>
      </c>
      <c r="G18" s="10">
        <f t="shared" si="0"/>
        <v>0</v>
      </c>
      <c r="H18" s="11">
        <f t="shared" si="0"/>
        <v>0</v>
      </c>
      <c r="I18" s="11"/>
      <c r="J18" s="11">
        <f>I18+март!J16</f>
        <v>0</v>
      </c>
      <c r="K18" s="10"/>
      <c r="L18" s="10">
        <f>K18+март!L16</f>
        <v>0</v>
      </c>
    </row>
    <row r="19" spans="1:12" ht="15.75">
      <c r="A19" s="1">
        <f t="shared" si="1"/>
        <v>15</v>
      </c>
      <c r="B19" s="17" t="s">
        <v>29</v>
      </c>
      <c r="C19" s="10"/>
      <c r="D19" s="10">
        <f>C19+март!D17</f>
        <v>0</v>
      </c>
      <c r="E19" s="11"/>
      <c r="F19" s="10">
        <f>E19+март!F17</f>
        <v>0</v>
      </c>
      <c r="G19" s="10">
        <f t="shared" si="0"/>
        <v>0</v>
      </c>
      <c r="H19" s="11">
        <f t="shared" si="0"/>
        <v>0</v>
      </c>
      <c r="I19" s="11"/>
      <c r="J19" s="11">
        <f>I19+март!J17</f>
        <v>0</v>
      </c>
      <c r="K19" s="10"/>
      <c r="L19" s="10">
        <f>K19+март!L17</f>
        <v>0</v>
      </c>
    </row>
    <row r="20" spans="1:12" ht="12.75">
      <c r="A20" s="1">
        <f t="shared" si="1"/>
        <v>16</v>
      </c>
      <c r="B20" s="8" t="s">
        <v>31</v>
      </c>
      <c r="C20" s="10"/>
      <c r="D20" s="10">
        <f>C20+март!D18</f>
        <v>0</v>
      </c>
      <c r="E20" s="11"/>
      <c r="F20" s="10">
        <f>E20+март!F18</f>
        <v>0</v>
      </c>
      <c r="G20" s="10">
        <f t="shared" si="0"/>
        <v>0</v>
      </c>
      <c r="H20" s="11">
        <f t="shared" si="0"/>
        <v>0</v>
      </c>
      <c r="I20" s="11">
        <v>2508.09</v>
      </c>
      <c r="J20" s="11">
        <f>I20+март!J18</f>
        <v>10032.36</v>
      </c>
      <c r="K20" s="10"/>
      <c r="L20" s="10">
        <f>K20+март!L18</f>
        <v>7524.27</v>
      </c>
    </row>
    <row r="21" spans="1:12" ht="12.75">
      <c r="A21" s="1">
        <f t="shared" si="1"/>
        <v>17</v>
      </c>
      <c r="B21" s="13" t="s">
        <v>32</v>
      </c>
      <c r="C21" s="10"/>
      <c r="D21" s="10">
        <f>C21+март!D19</f>
        <v>0</v>
      </c>
      <c r="E21" s="11"/>
      <c r="F21" s="10">
        <f>E21+март!F19</f>
        <v>0</v>
      </c>
      <c r="G21" s="10">
        <f t="shared" si="0"/>
        <v>0</v>
      </c>
      <c r="H21" s="11">
        <f t="shared" si="0"/>
        <v>0</v>
      </c>
      <c r="I21" s="11">
        <v>546.48</v>
      </c>
      <c r="J21" s="11">
        <f>I21+март!J19</f>
        <v>1639.44</v>
      </c>
      <c r="K21" s="11">
        <v>546.48</v>
      </c>
      <c r="L21" s="10">
        <f>K21+март!L19</f>
        <v>1639.44</v>
      </c>
    </row>
    <row r="22" spans="1:12" ht="12.75">
      <c r="A22" s="1">
        <f t="shared" si="1"/>
        <v>18</v>
      </c>
      <c r="B22" s="13" t="s">
        <v>33</v>
      </c>
      <c r="C22" s="10"/>
      <c r="D22" s="10">
        <f>C22+март!D20</f>
        <v>0</v>
      </c>
      <c r="E22" s="11"/>
      <c r="F22" s="10">
        <f>E22+март!F20</f>
        <v>0</v>
      </c>
      <c r="G22" s="10">
        <f t="shared" si="0"/>
        <v>0</v>
      </c>
      <c r="H22" s="11">
        <f t="shared" si="0"/>
        <v>0</v>
      </c>
      <c r="I22" s="11">
        <v>2500</v>
      </c>
      <c r="J22" s="11">
        <f>I22+март!J20</f>
        <v>10000</v>
      </c>
      <c r="K22" s="10">
        <v>7500</v>
      </c>
      <c r="L22" s="10">
        <f>K22+март!L20</f>
        <v>7500</v>
      </c>
    </row>
    <row r="23" spans="1:12" ht="12.75">
      <c r="A23" s="1">
        <f t="shared" si="1"/>
        <v>19</v>
      </c>
      <c r="B23" s="8"/>
      <c r="C23" s="10"/>
      <c r="D23" s="10">
        <f>C23+март!D21</f>
        <v>0</v>
      </c>
      <c r="E23" s="11"/>
      <c r="F23" s="10">
        <f>E23+март!F21</f>
        <v>0</v>
      </c>
      <c r="G23" s="10">
        <f t="shared" si="0"/>
        <v>0</v>
      </c>
      <c r="H23" s="11">
        <f t="shared" si="0"/>
        <v>0</v>
      </c>
      <c r="I23" s="11"/>
      <c r="J23" s="11">
        <f>I23+март!J21</f>
        <v>0</v>
      </c>
      <c r="K23" s="10"/>
      <c r="L23" s="10">
        <f>K23+март!L21</f>
        <v>0</v>
      </c>
    </row>
    <row r="24" spans="1:12" ht="12.75">
      <c r="A24" s="1">
        <f t="shared" si="1"/>
        <v>20</v>
      </c>
      <c r="B24" s="8"/>
      <c r="C24" s="10"/>
      <c r="D24" s="10">
        <f>C24+март!D22</f>
        <v>0</v>
      </c>
      <c r="E24" s="11"/>
      <c r="F24" s="10">
        <f>E24+март!F22</f>
        <v>0</v>
      </c>
      <c r="G24" s="10">
        <f t="shared" si="0"/>
        <v>0</v>
      </c>
      <c r="H24" s="11">
        <f t="shared" si="0"/>
        <v>0</v>
      </c>
      <c r="I24" s="11"/>
      <c r="J24" s="11">
        <f>I24+март!J22</f>
        <v>0</v>
      </c>
      <c r="K24" s="10"/>
      <c r="L24" s="10">
        <f>K24+март!L22</f>
        <v>0</v>
      </c>
    </row>
    <row r="25" spans="1:12" ht="12.75">
      <c r="A25" s="1"/>
      <c r="B25" s="8" t="s">
        <v>13</v>
      </c>
      <c r="C25" s="10">
        <f aca="true" t="shared" si="2" ref="C25:L25">SUM(C5:C24)</f>
        <v>558491.01</v>
      </c>
      <c r="D25" s="10">
        <f t="shared" si="2"/>
        <v>2522849.6100000003</v>
      </c>
      <c r="E25" s="11">
        <f t="shared" si="2"/>
        <v>449622.07</v>
      </c>
      <c r="F25" s="10">
        <f t="shared" si="2"/>
        <v>1713205.61</v>
      </c>
      <c r="G25" s="10">
        <f t="shared" si="2"/>
        <v>-108868.94</v>
      </c>
      <c r="H25" s="11">
        <f t="shared" si="2"/>
        <v>-809644.0000000002</v>
      </c>
      <c r="I25" s="11">
        <f t="shared" si="2"/>
        <v>181510.05</v>
      </c>
      <c r="J25" s="11">
        <f t="shared" si="2"/>
        <v>1315152.0599999998</v>
      </c>
      <c r="K25" s="10">
        <f t="shared" si="2"/>
        <v>465376.5</v>
      </c>
      <c r="L25" s="10">
        <f t="shared" si="2"/>
        <v>705140.16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4.00390625" style="0" customWidth="1"/>
    <col min="2" max="2" width="23.140625" style="0" customWidth="1"/>
    <col min="3" max="3" width="11.00390625" style="0" customWidth="1"/>
    <col min="4" max="4" width="12.421875" style="0" customWidth="1"/>
    <col min="5" max="5" width="11.00390625" style="0" customWidth="1"/>
    <col min="6" max="6" width="12.00390625" style="0" customWidth="1"/>
    <col min="7" max="7" width="11.8515625" style="0" customWidth="1"/>
    <col min="8" max="8" width="12.28125" style="0" customWidth="1"/>
    <col min="9" max="9" width="11.421875" style="0" customWidth="1"/>
    <col min="10" max="10" width="11.8515625" style="0" customWidth="1"/>
    <col min="11" max="11" width="9.421875" style="0" bestFit="1" customWidth="1"/>
    <col min="12" max="12" width="12.7109375" style="0" customWidth="1"/>
  </cols>
  <sheetData>
    <row r="2" spans="1:12" ht="12.75">
      <c r="A2" s="1" t="s">
        <v>0</v>
      </c>
      <c r="B2" s="6" t="s">
        <v>1</v>
      </c>
      <c r="C2" s="5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6" t="s">
        <v>10</v>
      </c>
      <c r="L2" s="6" t="s">
        <v>11</v>
      </c>
    </row>
    <row r="3" spans="1:12" ht="15.75">
      <c r="A3" s="1">
        <v>1</v>
      </c>
      <c r="B3" s="17" t="s">
        <v>15</v>
      </c>
      <c r="C3" s="10">
        <f>31098.19+17447.62</f>
        <v>48545.81</v>
      </c>
      <c r="D3" s="10">
        <f>C3+апрель!D5</f>
        <v>288941.29</v>
      </c>
      <c r="E3" s="11">
        <f>24687.81+16652.98</f>
        <v>41340.79</v>
      </c>
      <c r="F3" s="10">
        <f>E3+апрель!F5</f>
        <v>212828.2</v>
      </c>
      <c r="G3" s="10">
        <f>E3-C3</f>
        <v>-7205.019999999997</v>
      </c>
      <c r="H3" s="11">
        <f>F3-D3</f>
        <v>-76113.08999999997</v>
      </c>
      <c r="I3" s="11"/>
      <c r="J3" s="11">
        <f>I3+апрель!J5</f>
        <v>0</v>
      </c>
      <c r="K3" s="10"/>
      <c r="L3" s="10">
        <f>K3+апрель!L5</f>
        <v>0</v>
      </c>
    </row>
    <row r="4" spans="1:12" ht="15.75">
      <c r="A4" s="1">
        <f>A3+1</f>
        <v>2</v>
      </c>
      <c r="B4" s="17" t="s">
        <v>16</v>
      </c>
      <c r="C4" s="10">
        <f>76950.65+43173.01</f>
        <v>120123.66</v>
      </c>
      <c r="D4" s="10">
        <f>C4+апрель!D6</f>
        <v>701623.4500000001</v>
      </c>
      <c r="E4" s="11">
        <f>61140.11+41008.08</f>
        <v>102148.19</v>
      </c>
      <c r="F4" s="10">
        <f>E4+апрель!F6</f>
        <v>515971.44</v>
      </c>
      <c r="G4" s="10">
        <f aca="true" t="shared" si="0" ref="G4:H22">E4-C4</f>
        <v>-17975.47</v>
      </c>
      <c r="H4" s="11">
        <f t="shared" si="0"/>
        <v>-185652.01000000007</v>
      </c>
      <c r="I4" s="11">
        <v>25088.28</v>
      </c>
      <c r="J4" s="11">
        <f>I4+апрель!J6</f>
        <v>195587.56</v>
      </c>
      <c r="K4" s="10"/>
      <c r="L4" s="10">
        <f>K4+апрель!L6</f>
        <v>170499.28</v>
      </c>
    </row>
    <row r="5" spans="1:12" ht="15.75">
      <c r="A5" s="1">
        <f aca="true" t="shared" si="1" ref="A5:A22">A4+1</f>
        <v>3</v>
      </c>
      <c r="B5" s="17" t="s">
        <v>18</v>
      </c>
      <c r="C5" s="10">
        <f>69739.26+33611.76</f>
        <v>103351.01999999999</v>
      </c>
      <c r="D5" s="10">
        <f>C5+апрель!D7</f>
        <v>591175.8200000001</v>
      </c>
      <c r="E5" s="11">
        <f>51919.64+31164.9</f>
        <v>83084.54000000001</v>
      </c>
      <c r="F5" s="10">
        <f>E5+апрель!F7</f>
        <v>426662.01</v>
      </c>
      <c r="G5" s="10">
        <f t="shared" si="0"/>
        <v>-20266.47999999998</v>
      </c>
      <c r="H5" s="11">
        <f t="shared" si="0"/>
        <v>-164513.81000000006</v>
      </c>
      <c r="I5" s="11">
        <f>50888.89-I4</f>
        <v>25800.61</v>
      </c>
      <c r="J5" s="11">
        <f>I5+апрель!J7</f>
        <v>116446.43000000001</v>
      </c>
      <c r="K5" s="10"/>
      <c r="L5" s="10">
        <f>K5+апрель!L7</f>
        <v>90645.82</v>
      </c>
    </row>
    <row r="6" spans="1:12" ht="15.75">
      <c r="A6" s="1">
        <f t="shared" si="1"/>
        <v>4</v>
      </c>
      <c r="B6" s="17" t="s">
        <v>19</v>
      </c>
      <c r="C6" s="10">
        <f>9529.78+4630.86</f>
        <v>14160.64</v>
      </c>
      <c r="D6" s="10">
        <f>C6+апрель!D8</f>
        <v>78146.9</v>
      </c>
      <c r="E6" s="11">
        <f>7026.59+4261.84</f>
        <v>11288.43</v>
      </c>
      <c r="F6" s="10">
        <f>E6+апрель!F8</f>
        <v>56076.049999999996</v>
      </c>
      <c r="G6" s="10">
        <f t="shared" si="0"/>
        <v>-2872.209999999999</v>
      </c>
      <c r="H6" s="11">
        <f t="shared" si="0"/>
        <v>-22070.85</v>
      </c>
      <c r="I6" s="11"/>
      <c r="J6" s="11">
        <f>I6+апрель!J8</f>
        <v>0</v>
      </c>
      <c r="K6" s="10"/>
      <c r="L6" s="10">
        <f>K6+апрель!L8</f>
        <v>0</v>
      </c>
    </row>
    <row r="7" spans="1:12" ht="15.75">
      <c r="A7" s="1">
        <f t="shared" si="1"/>
        <v>5</v>
      </c>
      <c r="B7" s="18" t="s">
        <v>20</v>
      </c>
      <c r="C7" s="10">
        <f>5002.14+2806.39</f>
        <v>7808.530000000001</v>
      </c>
      <c r="D7" s="10">
        <f>C7+апрель!D9</f>
        <v>46474.81</v>
      </c>
      <c r="E7" s="11">
        <f>3971.07+2678.55</f>
        <v>6649.620000000001</v>
      </c>
      <c r="F7" s="10">
        <f>E7+апрель!F9</f>
        <v>34232.090000000004</v>
      </c>
      <c r="G7" s="10">
        <f t="shared" si="0"/>
        <v>-1158.9099999999999</v>
      </c>
      <c r="H7" s="11">
        <f t="shared" si="0"/>
        <v>-12242.719999999994</v>
      </c>
      <c r="I7" s="11"/>
      <c r="J7" s="11">
        <f>I7+апрель!J9</f>
        <v>0</v>
      </c>
      <c r="K7" s="10"/>
      <c r="L7" s="10">
        <f>K7+апрель!L9</f>
        <v>0</v>
      </c>
    </row>
    <row r="8" spans="1:12" ht="15.75">
      <c r="A8" s="1">
        <f t="shared" si="1"/>
        <v>6</v>
      </c>
      <c r="B8" s="17" t="s">
        <v>30</v>
      </c>
      <c r="C8" s="10"/>
      <c r="D8" s="10">
        <f>C8+апрель!D10</f>
        <v>0</v>
      </c>
      <c r="E8" s="11"/>
      <c r="F8" s="10">
        <f>E8+апрель!F10</f>
        <v>0</v>
      </c>
      <c r="G8" s="10">
        <f t="shared" si="0"/>
        <v>0</v>
      </c>
      <c r="H8" s="11">
        <f t="shared" si="0"/>
        <v>0</v>
      </c>
      <c r="I8" s="11"/>
      <c r="J8" s="11">
        <f>I8+апрель!J10</f>
        <v>0</v>
      </c>
      <c r="K8" s="10"/>
      <c r="L8" s="10">
        <f>K8+апрель!L10</f>
        <v>0</v>
      </c>
    </row>
    <row r="9" spans="1:12" ht="15.75">
      <c r="A9" s="1">
        <f t="shared" si="1"/>
        <v>7</v>
      </c>
      <c r="B9" s="17" t="s">
        <v>21</v>
      </c>
      <c r="C9" s="10">
        <f>91698.78+43246.18</f>
        <v>134944.96</v>
      </c>
      <c r="D9" s="10">
        <f>C9+апрель!D11</f>
        <v>565038.28</v>
      </c>
      <c r="E9" s="11">
        <f>47239.87+24889.67</f>
        <v>72129.54000000001</v>
      </c>
      <c r="F9" s="10">
        <f>E9+апрель!F11</f>
        <v>340206.94000000006</v>
      </c>
      <c r="G9" s="10">
        <f t="shared" si="0"/>
        <v>-62815.419999999984</v>
      </c>
      <c r="H9" s="11">
        <f t="shared" si="0"/>
        <v>-224831.33999999997</v>
      </c>
      <c r="I9" s="11">
        <v>76944</v>
      </c>
      <c r="J9" s="11">
        <f>I9+апрель!J11</f>
        <v>764356.3999999999</v>
      </c>
      <c r="K9" s="10"/>
      <c r="L9" s="10">
        <f>K9+апрель!L11</f>
        <v>255615.97000000003</v>
      </c>
    </row>
    <row r="10" spans="1:12" ht="15.75">
      <c r="A10" s="1">
        <f t="shared" si="1"/>
        <v>8</v>
      </c>
      <c r="B10" s="17" t="s">
        <v>22</v>
      </c>
      <c r="C10" s="10">
        <f>25942.47+12036.63</f>
        <v>37979.1</v>
      </c>
      <c r="D10" s="10">
        <f>C10+апрель!D12</f>
        <v>219773.95</v>
      </c>
      <c r="E10" s="11">
        <f>17848.96+10599.75</f>
        <v>28448.71</v>
      </c>
      <c r="F10" s="10">
        <f>E10+апрель!F12</f>
        <v>138056.7</v>
      </c>
      <c r="G10" s="10">
        <f t="shared" si="0"/>
        <v>-9530.39</v>
      </c>
      <c r="H10" s="11">
        <f t="shared" si="0"/>
        <v>-81717.25</v>
      </c>
      <c r="I10" s="11">
        <v>26446.82</v>
      </c>
      <c r="J10" s="11">
        <f>I10+апрель!J12</f>
        <v>157751.08000000002</v>
      </c>
      <c r="K10" s="10">
        <v>22546.9</v>
      </c>
      <c r="L10" s="10">
        <f>K10+апрель!L12</f>
        <v>88554.4</v>
      </c>
    </row>
    <row r="11" spans="1:12" ht="15.75">
      <c r="A11" s="1">
        <f t="shared" si="1"/>
        <v>9</v>
      </c>
      <c r="B11" s="17" t="s">
        <v>23</v>
      </c>
      <c r="C11" s="10">
        <f>25942.47+12036.64</f>
        <v>37979.11</v>
      </c>
      <c r="D11" s="10">
        <f>C11+апрель!D13</f>
        <v>219773.95</v>
      </c>
      <c r="E11" s="11">
        <f>17848.94+10599.79</f>
        <v>28448.73</v>
      </c>
      <c r="F11" s="10">
        <f>E11+апрель!F13</f>
        <v>138056.78</v>
      </c>
      <c r="G11" s="10">
        <f t="shared" si="0"/>
        <v>-9530.380000000001</v>
      </c>
      <c r="H11" s="11">
        <f t="shared" si="0"/>
        <v>-81717.17000000001</v>
      </c>
      <c r="I11" s="11">
        <v>26446.82</v>
      </c>
      <c r="J11" s="11">
        <f>I11+апрель!J13</f>
        <v>157751.08000000002</v>
      </c>
      <c r="K11" s="10">
        <v>22546.9</v>
      </c>
      <c r="L11" s="10">
        <f>K11+апрель!L13</f>
        <v>88554.4</v>
      </c>
    </row>
    <row r="12" spans="1:12" ht="15.75">
      <c r="A12" s="1">
        <f t="shared" si="1"/>
        <v>10</v>
      </c>
      <c r="B12" s="17" t="s">
        <v>24</v>
      </c>
      <c r="C12" s="10">
        <f>17682.63+8204.25</f>
        <v>25886.88</v>
      </c>
      <c r="D12" s="10">
        <f>C12+апрель!D14</f>
        <v>146772.48</v>
      </c>
      <c r="E12" s="11">
        <f>12993.11+7800.29</f>
        <v>20793.4</v>
      </c>
      <c r="F12" s="10">
        <f>E12+апрель!F14</f>
        <v>105862.47</v>
      </c>
      <c r="G12" s="10">
        <f t="shared" si="0"/>
        <v>-5093.48</v>
      </c>
      <c r="H12" s="11">
        <f t="shared" si="0"/>
        <v>-40910.01000000001</v>
      </c>
      <c r="I12" s="11">
        <v>21656.22</v>
      </c>
      <c r="J12" s="11">
        <f>I12+апрель!J14</f>
        <v>103970.46</v>
      </c>
      <c r="K12" s="10">
        <v>12557.48</v>
      </c>
      <c r="L12" s="10">
        <f>K12+апрель!L14</f>
        <v>52257.86</v>
      </c>
    </row>
    <row r="13" spans="1:12" ht="15.75">
      <c r="A13" s="1">
        <f t="shared" si="1"/>
        <v>11</v>
      </c>
      <c r="B13" s="17" t="s">
        <v>25</v>
      </c>
      <c r="C13" s="10">
        <f>19232.74+10790.56</f>
        <v>30023.300000000003</v>
      </c>
      <c r="D13" s="10">
        <f>C13+апрель!D15</f>
        <v>178859.89</v>
      </c>
      <c r="E13" s="11">
        <f>15268.21+10299.09</f>
        <v>25567.3</v>
      </c>
      <c r="F13" s="10">
        <f>E13+апрель!F15</f>
        <v>131624.18999999997</v>
      </c>
      <c r="G13" s="10">
        <f t="shared" si="0"/>
        <v>-4456.000000000004</v>
      </c>
      <c r="H13" s="11">
        <f t="shared" si="0"/>
        <v>-47235.70000000004</v>
      </c>
      <c r="I13" s="11"/>
      <c r="J13" s="11">
        <f>I13+апрель!J15</f>
        <v>0</v>
      </c>
      <c r="K13" s="10"/>
      <c r="L13" s="10">
        <f>K13+апрель!L15</f>
        <v>0</v>
      </c>
    </row>
    <row r="14" spans="1:12" ht="15.75">
      <c r="A14" s="1">
        <f t="shared" si="1"/>
        <v>12</v>
      </c>
      <c r="B14" s="17" t="s">
        <v>26</v>
      </c>
      <c r="C14" s="10">
        <f>4517.96+870.2</f>
        <v>5388.16</v>
      </c>
      <c r="D14" s="10">
        <f>C14+апрель!D16</f>
        <v>40470.11</v>
      </c>
      <c r="E14" s="11">
        <f>3573.69+2450.17</f>
        <v>6023.860000000001</v>
      </c>
      <c r="F14" s="10">
        <f>E14+апрель!F16</f>
        <v>30998.89</v>
      </c>
      <c r="G14" s="10">
        <f t="shared" si="0"/>
        <v>635.7000000000007</v>
      </c>
      <c r="H14" s="11">
        <f t="shared" si="0"/>
        <v>-9471.220000000001</v>
      </c>
      <c r="I14" s="11"/>
      <c r="J14" s="11">
        <f>I14+апрель!J16</f>
        <v>0</v>
      </c>
      <c r="K14" s="10"/>
      <c r="L14" s="10">
        <f>K14+апрель!L16</f>
        <v>0</v>
      </c>
    </row>
    <row r="15" spans="1:12" ht="15.75">
      <c r="A15" s="1">
        <f t="shared" si="1"/>
        <v>13</v>
      </c>
      <c r="B15" s="17" t="s">
        <v>27</v>
      </c>
      <c r="C15" s="10">
        <f>1551.05+2567.1</f>
        <v>4118.15</v>
      </c>
      <c r="D15" s="10">
        <f>C15+апрель!D17</f>
        <v>16108</v>
      </c>
      <c r="E15" s="11">
        <f>1231.3+830.52</f>
        <v>2061.8199999999997</v>
      </c>
      <c r="F15" s="10">
        <f>E15+апрель!F17</f>
        <v>10614.779999999999</v>
      </c>
      <c r="G15" s="10">
        <f t="shared" si="0"/>
        <v>-2056.33</v>
      </c>
      <c r="H15" s="11">
        <f t="shared" si="0"/>
        <v>-5493.220000000001</v>
      </c>
      <c r="I15" s="11"/>
      <c r="J15" s="11">
        <f>I15+апрель!J17</f>
        <v>0</v>
      </c>
      <c r="K15" s="10"/>
      <c r="L15" s="10">
        <f>K15+апрель!L17</f>
        <v>0</v>
      </c>
    </row>
    <row r="16" spans="1:12" ht="15.75">
      <c r="A16" s="1">
        <f t="shared" si="1"/>
        <v>14</v>
      </c>
      <c r="B16" s="17" t="s">
        <v>28</v>
      </c>
      <c r="C16" s="10"/>
      <c r="D16" s="10">
        <f>C16+апрель!D18</f>
        <v>0</v>
      </c>
      <c r="E16" s="11"/>
      <c r="F16" s="10">
        <f>E16+апрель!F18</f>
        <v>0</v>
      </c>
      <c r="G16" s="10">
        <f t="shared" si="0"/>
        <v>0</v>
      </c>
      <c r="H16" s="11">
        <f t="shared" si="0"/>
        <v>0</v>
      </c>
      <c r="I16" s="11"/>
      <c r="J16" s="11">
        <f>I16+апрель!J18</f>
        <v>0</v>
      </c>
      <c r="K16" s="10"/>
      <c r="L16" s="10">
        <f>K16+апрель!L18</f>
        <v>0</v>
      </c>
    </row>
    <row r="17" spans="1:12" ht="15.75">
      <c r="A17" s="1">
        <f t="shared" si="1"/>
        <v>15</v>
      </c>
      <c r="B17" s="17" t="s">
        <v>29</v>
      </c>
      <c r="C17" s="10"/>
      <c r="D17" s="10">
        <f>C17+апрель!D19</f>
        <v>0</v>
      </c>
      <c r="E17" s="11"/>
      <c r="F17" s="10">
        <f>E17+апрель!F19</f>
        <v>0</v>
      </c>
      <c r="G17" s="10">
        <f t="shared" si="0"/>
        <v>0</v>
      </c>
      <c r="H17" s="11">
        <f t="shared" si="0"/>
        <v>0</v>
      </c>
      <c r="I17" s="11"/>
      <c r="J17" s="11">
        <f>I17+апрель!J19</f>
        <v>0</v>
      </c>
      <c r="K17" s="10"/>
      <c r="L17" s="10">
        <f>K17+апрель!L19</f>
        <v>0</v>
      </c>
    </row>
    <row r="18" spans="1:12" ht="12.75">
      <c r="A18" s="1">
        <f t="shared" si="1"/>
        <v>16</v>
      </c>
      <c r="B18" s="8" t="s">
        <v>31</v>
      </c>
      <c r="C18" s="10"/>
      <c r="D18" s="10">
        <f>C18+апрель!D20</f>
        <v>0</v>
      </c>
      <c r="E18" s="11"/>
      <c r="F18" s="10">
        <f>E18+апрель!F20</f>
        <v>0</v>
      </c>
      <c r="G18" s="10">
        <f t="shared" si="0"/>
        <v>0</v>
      </c>
      <c r="H18" s="11">
        <f t="shared" si="0"/>
        <v>0</v>
      </c>
      <c r="I18" s="11">
        <v>2508.09</v>
      </c>
      <c r="J18" s="11">
        <f>I18+апрель!J20</f>
        <v>12540.45</v>
      </c>
      <c r="K18" s="10">
        <f>I18</f>
        <v>2508.09</v>
      </c>
      <c r="L18" s="10">
        <f>K18+апрель!L20</f>
        <v>10032.36</v>
      </c>
    </row>
    <row r="19" spans="1:12" ht="12.75">
      <c r="A19" s="1">
        <f t="shared" si="1"/>
        <v>17</v>
      </c>
      <c r="B19" s="13" t="s">
        <v>32</v>
      </c>
      <c r="C19" s="10"/>
      <c r="D19" s="10">
        <f>C19+апрель!D21</f>
        <v>0</v>
      </c>
      <c r="E19" s="11"/>
      <c r="F19" s="10">
        <f>E19+апрель!F21</f>
        <v>0</v>
      </c>
      <c r="G19" s="10">
        <f t="shared" si="0"/>
        <v>0</v>
      </c>
      <c r="H19" s="11">
        <f t="shared" si="0"/>
        <v>0</v>
      </c>
      <c r="I19" s="11">
        <v>546.48</v>
      </c>
      <c r="J19" s="11">
        <f>I19+апрель!J21</f>
        <v>2185.92</v>
      </c>
      <c r="K19" s="11">
        <v>546.48</v>
      </c>
      <c r="L19" s="10">
        <f>K19+апрель!L21</f>
        <v>2185.92</v>
      </c>
    </row>
    <row r="20" spans="1:12" ht="12.75">
      <c r="A20" s="1">
        <f t="shared" si="1"/>
        <v>18</v>
      </c>
      <c r="B20" s="13" t="s">
        <v>33</v>
      </c>
      <c r="C20" s="10"/>
      <c r="D20" s="10">
        <f>C20+апрель!D22</f>
        <v>0</v>
      </c>
      <c r="E20" s="11"/>
      <c r="F20" s="10">
        <f>E20+апрель!F22</f>
        <v>0</v>
      </c>
      <c r="G20" s="10">
        <f t="shared" si="0"/>
        <v>0</v>
      </c>
      <c r="H20" s="11">
        <f t="shared" si="0"/>
        <v>0</v>
      </c>
      <c r="I20" s="11">
        <v>2500</v>
      </c>
      <c r="J20" s="11">
        <f>I20+апрель!J22</f>
        <v>12500</v>
      </c>
      <c r="K20" s="11">
        <v>2500</v>
      </c>
      <c r="L20" s="10">
        <f>K20+апрель!L22</f>
        <v>10000</v>
      </c>
    </row>
    <row r="21" spans="1:12" ht="12.75">
      <c r="A21" s="1">
        <f t="shared" si="1"/>
        <v>19</v>
      </c>
      <c r="B21" s="8"/>
      <c r="C21" s="10"/>
      <c r="D21" s="10">
        <f>C21+апрель!D23</f>
        <v>0</v>
      </c>
      <c r="E21" s="11"/>
      <c r="F21" s="10">
        <f>E21+апрель!F23</f>
        <v>0</v>
      </c>
      <c r="G21" s="10">
        <f t="shared" si="0"/>
        <v>0</v>
      </c>
      <c r="H21" s="11">
        <f t="shared" si="0"/>
        <v>0</v>
      </c>
      <c r="I21" s="11"/>
      <c r="J21" s="11">
        <f>I21+апрель!J23</f>
        <v>0</v>
      </c>
      <c r="K21" s="10"/>
      <c r="L21" s="10">
        <f>K21+апрель!L23</f>
        <v>0</v>
      </c>
    </row>
    <row r="22" spans="1:12" ht="12.75">
      <c r="A22" s="1">
        <f t="shared" si="1"/>
        <v>20</v>
      </c>
      <c r="B22" s="8"/>
      <c r="C22" s="10"/>
      <c r="D22" s="10">
        <f>C22+апрель!D24</f>
        <v>0</v>
      </c>
      <c r="E22" s="11"/>
      <c r="F22" s="10">
        <f>E22+апрель!F24</f>
        <v>0</v>
      </c>
      <c r="G22" s="10">
        <f t="shared" si="0"/>
        <v>0</v>
      </c>
      <c r="H22" s="11">
        <f t="shared" si="0"/>
        <v>0</v>
      </c>
      <c r="I22" s="11"/>
      <c r="J22" s="11">
        <f>I22+апрель!J24</f>
        <v>0</v>
      </c>
      <c r="K22" s="10"/>
      <c r="L22" s="10">
        <f>K22+апрель!L24</f>
        <v>0</v>
      </c>
    </row>
    <row r="23" spans="1:12" ht="12.75">
      <c r="A23" s="1"/>
      <c r="B23" s="8" t="s">
        <v>13</v>
      </c>
      <c r="C23" s="10">
        <f aca="true" t="shared" si="2" ref="C23:L23">SUM(C3:C22)</f>
        <v>570309.3200000001</v>
      </c>
      <c r="D23" s="10">
        <f t="shared" si="2"/>
        <v>3093158.93</v>
      </c>
      <c r="E23" s="11">
        <f t="shared" si="2"/>
        <v>427984.93</v>
      </c>
      <c r="F23" s="10">
        <f t="shared" si="2"/>
        <v>2141190.54</v>
      </c>
      <c r="G23" s="10">
        <f t="shared" si="2"/>
        <v>-142324.38999999996</v>
      </c>
      <c r="H23" s="11">
        <f t="shared" si="2"/>
        <v>-951968.3900000001</v>
      </c>
      <c r="I23" s="11">
        <f t="shared" si="2"/>
        <v>207937.32</v>
      </c>
      <c r="J23" s="11">
        <f t="shared" si="2"/>
        <v>1523089.38</v>
      </c>
      <c r="K23" s="10">
        <f t="shared" si="2"/>
        <v>63205.85</v>
      </c>
      <c r="L23" s="10">
        <f t="shared" si="2"/>
        <v>768346.0100000001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4.140625" style="12" customWidth="1"/>
    <col min="2" max="2" width="22.8515625" style="0" customWidth="1"/>
    <col min="3" max="3" width="10.28125" style="0" customWidth="1"/>
    <col min="4" max="4" width="10.8515625" style="0" customWidth="1"/>
    <col min="5" max="5" width="10.57421875" style="0" customWidth="1"/>
    <col min="6" max="6" width="11.57421875" style="0" customWidth="1"/>
    <col min="7" max="7" width="11.8515625" style="0" customWidth="1"/>
    <col min="8" max="8" width="12.421875" style="0" customWidth="1"/>
    <col min="9" max="9" width="11.140625" style="0" customWidth="1"/>
    <col min="10" max="10" width="10.8515625" style="0" customWidth="1"/>
    <col min="11" max="11" width="9.28125" style="0" bestFit="1" customWidth="1"/>
    <col min="12" max="12" width="10.7109375" style="0" customWidth="1"/>
  </cols>
  <sheetData>
    <row r="2" spans="1:12" ht="12.75">
      <c r="A2" s="1" t="s">
        <v>0</v>
      </c>
      <c r="B2" s="6" t="s">
        <v>1</v>
      </c>
      <c r="C2" s="5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6" t="s">
        <v>10</v>
      </c>
      <c r="L2" s="6" t="s">
        <v>11</v>
      </c>
    </row>
    <row r="3" spans="1:12" ht="15.75">
      <c r="A3" s="1">
        <v>1</v>
      </c>
      <c r="B3" s="17" t="s">
        <v>15</v>
      </c>
      <c r="C3" s="10">
        <f>31073.08+17447.62</f>
        <v>48520.7</v>
      </c>
      <c r="D3" s="10">
        <f>C3+май!D3</f>
        <v>337461.99</v>
      </c>
      <c r="E3" s="11">
        <f>21631.36+18702.96</f>
        <v>40334.32</v>
      </c>
      <c r="F3" s="10">
        <f>E3+май!F3</f>
        <v>253162.52000000002</v>
      </c>
      <c r="G3" s="10">
        <f>E3-C3</f>
        <v>-8186.379999999997</v>
      </c>
      <c r="H3" s="11">
        <f>F3-D3</f>
        <v>-84299.46999999997</v>
      </c>
      <c r="I3" s="11"/>
      <c r="J3" s="11">
        <f>I3+май!J3</f>
        <v>0</v>
      </c>
      <c r="K3" s="10"/>
      <c r="L3" s="10">
        <f>K3+май!L3</f>
        <v>0</v>
      </c>
    </row>
    <row r="4" spans="1:12" ht="15.75">
      <c r="A4" s="1">
        <f>A3+1</f>
        <v>2</v>
      </c>
      <c r="B4" s="17" t="s">
        <v>16</v>
      </c>
      <c r="C4" s="10">
        <f>76888.53+43173.01</f>
        <v>120061.54000000001</v>
      </c>
      <c r="D4" s="10">
        <f>C4+май!D4</f>
        <v>821684.9900000001</v>
      </c>
      <c r="E4" s="11">
        <f>53525.55+46106.54</f>
        <v>99632.09</v>
      </c>
      <c r="F4" s="10">
        <f>E4+май!F4</f>
        <v>615603.53</v>
      </c>
      <c r="G4" s="10">
        <f aca="true" t="shared" si="0" ref="G4:H22">E4-C4</f>
        <v>-20429.45000000001</v>
      </c>
      <c r="H4" s="11">
        <f t="shared" si="0"/>
        <v>-206081.46000000008</v>
      </c>
      <c r="I4" s="11"/>
      <c r="J4" s="11">
        <f>I4+май!J4</f>
        <v>195587.56</v>
      </c>
      <c r="K4" s="10"/>
      <c r="L4" s="10">
        <f>K4+май!L4</f>
        <v>170499.28</v>
      </c>
    </row>
    <row r="5" spans="1:12" ht="15.75">
      <c r="A5" s="1">
        <f aca="true" t="shared" si="1" ref="A5:A22">A4+1</f>
        <v>3</v>
      </c>
      <c r="B5" s="17" t="s">
        <v>18</v>
      </c>
      <c r="C5" s="10">
        <f>66029.68+31731.98</f>
        <v>97761.65999999999</v>
      </c>
      <c r="D5" s="10">
        <f>C5+май!D5</f>
        <v>688937.4800000001</v>
      </c>
      <c r="E5" s="11">
        <f>45519.46+36558.13</f>
        <v>82077.59</v>
      </c>
      <c r="F5" s="10">
        <f>E5+май!F5</f>
        <v>508739.6</v>
      </c>
      <c r="G5" s="10">
        <f t="shared" si="0"/>
        <v>-15684.069999999992</v>
      </c>
      <c r="H5" s="11">
        <f t="shared" si="0"/>
        <v>-180197.88000000012</v>
      </c>
      <c r="I5" s="11"/>
      <c r="J5" s="11">
        <f>I5+май!J5</f>
        <v>116446.43000000001</v>
      </c>
      <c r="K5" s="10"/>
      <c r="L5" s="10">
        <f>K5+май!L5</f>
        <v>90645.82</v>
      </c>
    </row>
    <row r="6" spans="1:12" ht="15.75">
      <c r="A6" s="1">
        <f t="shared" si="1"/>
        <v>4</v>
      </c>
      <c r="B6" s="17" t="s">
        <v>19</v>
      </c>
      <c r="C6" s="10">
        <f>9173.78+4437.98</f>
        <v>13611.76</v>
      </c>
      <c r="D6" s="10">
        <f>C6+май!D6</f>
        <v>91758.65999999999</v>
      </c>
      <c r="E6" s="11">
        <f>6258.51+5000.31</f>
        <v>11258.82</v>
      </c>
      <c r="F6" s="10">
        <f>E6+май!F6</f>
        <v>67334.87</v>
      </c>
      <c r="G6" s="10">
        <f t="shared" si="0"/>
        <v>-2352.9400000000005</v>
      </c>
      <c r="H6" s="11">
        <f t="shared" si="0"/>
        <v>-24423.789999999994</v>
      </c>
      <c r="I6" s="11"/>
      <c r="J6" s="11">
        <f>I6+май!J6</f>
        <v>0</v>
      </c>
      <c r="K6" s="10"/>
      <c r="L6" s="10">
        <f>K6+май!L6</f>
        <v>0</v>
      </c>
    </row>
    <row r="7" spans="1:12" ht="15.75">
      <c r="A7" s="1">
        <f t="shared" si="1"/>
        <v>5</v>
      </c>
      <c r="B7" s="18" t="s">
        <v>20</v>
      </c>
      <c r="C7" s="10">
        <f>4998.1+2806.39</f>
        <v>7804.49</v>
      </c>
      <c r="D7" s="10">
        <f>C7+май!D7</f>
        <v>54279.299999999996</v>
      </c>
      <c r="E7" s="11">
        <f>3479.38+3008.34</f>
        <v>6487.72</v>
      </c>
      <c r="F7" s="10">
        <f>E7+май!F7</f>
        <v>40719.810000000005</v>
      </c>
      <c r="G7" s="10">
        <f t="shared" si="0"/>
        <v>-1316.7699999999995</v>
      </c>
      <c r="H7" s="11">
        <f t="shared" si="0"/>
        <v>-13559.48999999999</v>
      </c>
      <c r="I7" s="11"/>
      <c r="J7" s="11">
        <f>I7+май!J7</f>
        <v>0</v>
      </c>
      <c r="K7" s="10"/>
      <c r="L7" s="10">
        <f>K7+май!L7</f>
        <v>0</v>
      </c>
    </row>
    <row r="8" spans="1:12" ht="15.75">
      <c r="A8" s="1">
        <f t="shared" si="1"/>
        <v>6</v>
      </c>
      <c r="B8" s="17" t="s">
        <v>30</v>
      </c>
      <c r="C8" s="10"/>
      <c r="D8" s="10">
        <f>C8+май!D8</f>
        <v>0</v>
      </c>
      <c r="E8" s="11"/>
      <c r="F8" s="10">
        <f>E8+май!F8</f>
        <v>0</v>
      </c>
      <c r="G8" s="10">
        <f t="shared" si="0"/>
        <v>0</v>
      </c>
      <c r="H8" s="11">
        <f t="shared" si="0"/>
        <v>0</v>
      </c>
      <c r="I8" s="11"/>
      <c r="J8" s="11">
        <f>I8+май!J8</f>
        <v>0</v>
      </c>
      <c r="K8" s="10"/>
      <c r="L8" s="10">
        <f>K8+май!L8</f>
        <v>0</v>
      </c>
    </row>
    <row r="9" spans="1:12" ht="15.75">
      <c r="A9" s="1">
        <f t="shared" si="1"/>
        <v>7</v>
      </c>
      <c r="B9" s="17" t="s">
        <v>21</v>
      </c>
      <c r="C9" s="10">
        <f>68012.7+33243.02</f>
        <v>101255.72</v>
      </c>
      <c r="D9" s="10">
        <f>C9+май!D9</f>
        <v>666294</v>
      </c>
      <c r="E9" s="11">
        <f>50814.06+36287.73</f>
        <v>87101.79000000001</v>
      </c>
      <c r="F9" s="10">
        <f>E9+май!F9</f>
        <v>427308.7300000001</v>
      </c>
      <c r="G9" s="10">
        <f t="shared" si="0"/>
        <v>-14153.929999999993</v>
      </c>
      <c r="H9" s="11">
        <f t="shared" si="0"/>
        <v>-238985.2699999999</v>
      </c>
      <c r="I9" s="11">
        <v>51632</v>
      </c>
      <c r="J9" s="11">
        <f>I9+май!J9</f>
        <v>815988.3999999999</v>
      </c>
      <c r="K9" s="10"/>
      <c r="L9" s="10">
        <f>K9+май!L9</f>
        <v>255615.97000000003</v>
      </c>
    </row>
    <row r="10" spans="1:12" ht="15.75">
      <c r="A10" s="1">
        <f t="shared" si="1"/>
        <v>8</v>
      </c>
      <c r="B10" s="17" t="s">
        <v>22</v>
      </c>
      <c r="C10" s="10">
        <f>24622.27+11915.85</f>
        <v>36538.12</v>
      </c>
      <c r="D10" s="10">
        <f>C10+май!D10</f>
        <v>256312.07</v>
      </c>
      <c r="E10" s="11">
        <f>15536.7+12020.1</f>
        <v>27556.800000000003</v>
      </c>
      <c r="F10" s="10">
        <f>E10+май!F10</f>
        <v>165613.5</v>
      </c>
      <c r="G10" s="10">
        <f t="shared" si="0"/>
        <v>-8981.32</v>
      </c>
      <c r="H10" s="11">
        <f t="shared" si="0"/>
        <v>-90698.57</v>
      </c>
      <c r="I10" s="11">
        <v>49920.91</v>
      </c>
      <c r="J10" s="11">
        <f>I10+май!J10</f>
        <v>207671.99000000002</v>
      </c>
      <c r="K10" s="10">
        <v>18151.93</v>
      </c>
      <c r="L10" s="10">
        <f>K10+май!L10</f>
        <v>106706.32999999999</v>
      </c>
    </row>
    <row r="11" spans="1:12" ht="15.75">
      <c r="A11" s="1">
        <f t="shared" si="1"/>
        <v>9</v>
      </c>
      <c r="B11" s="17" t="s">
        <v>23</v>
      </c>
      <c r="C11" s="10">
        <f>24622.27+11915.86</f>
        <v>36538.130000000005</v>
      </c>
      <c r="D11" s="10">
        <f>C11+май!D11</f>
        <v>256312.08000000002</v>
      </c>
      <c r="E11" s="11">
        <f>15536.71+12020.11</f>
        <v>27556.82</v>
      </c>
      <c r="F11" s="10">
        <f>E11+май!F11</f>
        <v>165613.6</v>
      </c>
      <c r="G11" s="10">
        <f t="shared" si="0"/>
        <v>-8981.310000000005</v>
      </c>
      <c r="H11" s="11">
        <f t="shared" si="0"/>
        <v>-90698.48000000001</v>
      </c>
      <c r="I11" s="11">
        <v>49920.91</v>
      </c>
      <c r="J11" s="11">
        <f>I11+май!J11</f>
        <v>207671.99000000002</v>
      </c>
      <c r="K11" s="10">
        <v>18151.93</v>
      </c>
      <c r="L11" s="10">
        <f>K11+май!L11</f>
        <v>106706.32999999999</v>
      </c>
    </row>
    <row r="12" spans="1:12" ht="15.75">
      <c r="A12" s="1">
        <f t="shared" si="1"/>
        <v>10</v>
      </c>
      <c r="B12" s="17" t="s">
        <v>24</v>
      </c>
      <c r="C12" s="10">
        <f>16677.79+8064</f>
        <v>24741.79</v>
      </c>
      <c r="D12" s="10">
        <f>C12+май!D12</f>
        <v>171514.27000000002</v>
      </c>
      <c r="E12" s="11">
        <f>11626.42+9156.15</f>
        <v>20782.57</v>
      </c>
      <c r="F12" s="10">
        <f>E12+май!F12</f>
        <v>126645.04000000001</v>
      </c>
      <c r="G12" s="10">
        <f t="shared" si="0"/>
        <v>-3959.220000000001</v>
      </c>
      <c r="H12" s="11">
        <f t="shared" si="0"/>
        <v>-44869.23000000001</v>
      </c>
      <c r="I12" s="11">
        <v>20957.64</v>
      </c>
      <c r="J12" s="11">
        <f>I12+май!J12</f>
        <v>124928.1</v>
      </c>
      <c r="K12" s="10">
        <v>10109.71</v>
      </c>
      <c r="L12" s="10">
        <f>K12+май!L12</f>
        <v>62367.57</v>
      </c>
    </row>
    <row r="13" spans="1:12" ht="15.75">
      <c r="A13" s="1">
        <f t="shared" si="1"/>
        <v>11</v>
      </c>
      <c r="B13" s="17" t="s">
        <v>25</v>
      </c>
      <c r="C13" s="10">
        <f>19217.21+10790.55</f>
        <v>30007.76</v>
      </c>
      <c r="D13" s="10">
        <f>C13+май!D13</f>
        <v>208867.65000000002</v>
      </c>
      <c r="E13" s="11">
        <f>13378+11566.95</f>
        <v>24944.95</v>
      </c>
      <c r="F13" s="10">
        <f>E13+май!F13</f>
        <v>156569.13999999998</v>
      </c>
      <c r="G13" s="10">
        <f t="shared" si="0"/>
        <v>-5062.809999999998</v>
      </c>
      <c r="H13" s="11">
        <f t="shared" si="0"/>
        <v>-52298.51000000004</v>
      </c>
      <c r="I13" s="11"/>
      <c r="J13" s="11">
        <f>I13+май!J13</f>
        <v>0</v>
      </c>
      <c r="K13" s="10"/>
      <c r="L13" s="10">
        <f>K13+май!L13</f>
        <v>0</v>
      </c>
    </row>
    <row r="14" spans="1:12" ht="15.75">
      <c r="A14" s="1">
        <f t="shared" si="1"/>
        <v>12</v>
      </c>
      <c r="B14" s="17" t="s">
        <v>26</v>
      </c>
      <c r="C14" s="10">
        <f>4514.27+2567.1</f>
        <v>7081.370000000001</v>
      </c>
      <c r="D14" s="10">
        <f>C14+май!D14</f>
        <v>47551.48</v>
      </c>
      <c r="E14" s="11">
        <f>3121.6+2751.76</f>
        <v>5873.360000000001</v>
      </c>
      <c r="F14" s="10">
        <f>E14+май!F14</f>
        <v>36872.25</v>
      </c>
      <c r="G14" s="10">
        <f t="shared" si="0"/>
        <v>-1208.0100000000002</v>
      </c>
      <c r="H14" s="11">
        <f t="shared" si="0"/>
        <v>-10679.230000000003</v>
      </c>
      <c r="I14" s="11"/>
      <c r="J14" s="11">
        <f>I14+май!J14</f>
        <v>0</v>
      </c>
      <c r="K14" s="10"/>
      <c r="L14" s="10">
        <f>K14+май!L14</f>
        <v>0</v>
      </c>
    </row>
    <row r="15" spans="1:12" ht="15.75">
      <c r="A15" s="1">
        <f t="shared" si="1"/>
        <v>13</v>
      </c>
      <c r="B15" s="17" t="s">
        <v>27</v>
      </c>
      <c r="C15" s="10">
        <f>1549.8+870.2</f>
        <v>2420</v>
      </c>
      <c r="D15" s="10">
        <f>C15+май!D15</f>
        <v>18528</v>
      </c>
      <c r="E15" s="11">
        <f>1078.91+932.82</f>
        <v>2011.73</v>
      </c>
      <c r="F15" s="10">
        <f>E15+май!F15</f>
        <v>12626.509999999998</v>
      </c>
      <c r="G15" s="10">
        <f t="shared" si="0"/>
        <v>-408.27</v>
      </c>
      <c r="H15" s="11">
        <f t="shared" si="0"/>
        <v>-5901.490000000002</v>
      </c>
      <c r="I15" s="11"/>
      <c r="J15" s="11">
        <f>I15+май!J15</f>
        <v>0</v>
      </c>
      <c r="K15" s="10"/>
      <c r="L15" s="10">
        <f>K15+май!L15</f>
        <v>0</v>
      </c>
    </row>
    <row r="16" spans="1:12" ht="15.75">
      <c r="A16" s="1">
        <f t="shared" si="1"/>
        <v>14</v>
      </c>
      <c r="B16" s="17" t="s">
        <v>28</v>
      </c>
      <c r="C16" s="10"/>
      <c r="D16" s="10">
        <f>C16+май!D16</f>
        <v>0</v>
      </c>
      <c r="E16" s="11"/>
      <c r="F16" s="10">
        <f>E16+май!F16</f>
        <v>0</v>
      </c>
      <c r="G16" s="10">
        <f t="shared" si="0"/>
        <v>0</v>
      </c>
      <c r="H16" s="11">
        <f t="shared" si="0"/>
        <v>0</v>
      </c>
      <c r="I16" s="11"/>
      <c r="J16" s="11">
        <f>I16+май!J16</f>
        <v>0</v>
      </c>
      <c r="K16" s="10"/>
      <c r="L16" s="10">
        <f>K16+май!L16</f>
        <v>0</v>
      </c>
    </row>
    <row r="17" spans="1:12" ht="15.75">
      <c r="A17" s="1">
        <f t="shared" si="1"/>
        <v>15</v>
      </c>
      <c r="B17" s="17" t="s">
        <v>29</v>
      </c>
      <c r="C17" s="10"/>
      <c r="D17" s="10">
        <f>C17+май!D17</f>
        <v>0</v>
      </c>
      <c r="E17" s="11"/>
      <c r="F17" s="10">
        <f>E17+май!F17</f>
        <v>0</v>
      </c>
      <c r="G17" s="10">
        <f t="shared" si="0"/>
        <v>0</v>
      </c>
      <c r="H17" s="11">
        <f t="shared" si="0"/>
        <v>0</v>
      </c>
      <c r="I17" s="11"/>
      <c r="J17" s="11">
        <f>I17+май!J17</f>
        <v>0</v>
      </c>
      <c r="K17" s="10"/>
      <c r="L17" s="10">
        <f>K17+май!L17</f>
        <v>0</v>
      </c>
    </row>
    <row r="18" spans="1:12" ht="12.75">
      <c r="A18" s="1">
        <f t="shared" si="1"/>
        <v>16</v>
      </c>
      <c r="B18" s="8" t="s">
        <v>31</v>
      </c>
      <c r="C18" s="10"/>
      <c r="D18" s="10">
        <f>C18+май!D18</f>
        <v>0</v>
      </c>
      <c r="E18" s="11"/>
      <c r="F18" s="10">
        <f>E18+май!F18</f>
        <v>0</v>
      </c>
      <c r="G18" s="10">
        <f t="shared" si="0"/>
        <v>0</v>
      </c>
      <c r="H18" s="11">
        <f t="shared" si="0"/>
        <v>0</v>
      </c>
      <c r="I18" s="11">
        <v>2508.09</v>
      </c>
      <c r="J18" s="11">
        <f>I18+май!J18</f>
        <v>15048.54</v>
      </c>
      <c r="K18" s="10">
        <f>I18</f>
        <v>2508.09</v>
      </c>
      <c r="L18" s="10">
        <f>K18+май!L18</f>
        <v>12540.45</v>
      </c>
    </row>
    <row r="19" spans="1:12" ht="12.75">
      <c r="A19" s="1">
        <f t="shared" si="1"/>
        <v>17</v>
      </c>
      <c r="B19" s="13" t="s">
        <v>32</v>
      </c>
      <c r="C19" s="10"/>
      <c r="D19" s="10">
        <f>C19+май!D19</f>
        <v>0</v>
      </c>
      <c r="E19" s="11"/>
      <c r="F19" s="10">
        <f>E19+май!F19</f>
        <v>0</v>
      </c>
      <c r="G19" s="10">
        <f t="shared" si="0"/>
        <v>0</v>
      </c>
      <c r="H19" s="11">
        <f t="shared" si="0"/>
        <v>0</v>
      </c>
      <c r="I19" s="11">
        <v>546.48</v>
      </c>
      <c r="J19" s="11">
        <f>I19+май!J19</f>
        <v>2732.4</v>
      </c>
      <c r="K19" s="11">
        <v>546.48</v>
      </c>
      <c r="L19" s="10">
        <f>K19+май!L19</f>
        <v>2732.4</v>
      </c>
    </row>
    <row r="20" spans="1:12" ht="12.75">
      <c r="A20" s="1">
        <f t="shared" si="1"/>
        <v>18</v>
      </c>
      <c r="B20" s="13" t="s">
        <v>33</v>
      </c>
      <c r="C20" s="10"/>
      <c r="D20" s="10">
        <f>C20+май!D20</f>
        <v>0</v>
      </c>
      <c r="E20" s="11"/>
      <c r="F20" s="10">
        <f>E20+май!F20</f>
        <v>0</v>
      </c>
      <c r="G20" s="10">
        <f t="shared" si="0"/>
        <v>0</v>
      </c>
      <c r="H20" s="11">
        <f t="shared" si="0"/>
        <v>0</v>
      </c>
      <c r="I20" s="11">
        <v>2500</v>
      </c>
      <c r="J20" s="11">
        <f>I20+май!J20</f>
        <v>15000</v>
      </c>
      <c r="K20" s="11">
        <v>2500</v>
      </c>
      <c r="L20" s="10">
        <f>K20+май!L20</f>
        <v>12500</v>
      </c>
    </row>
    <row r="21" spans="1:12" ht="12.75">
      <c r="A21" s="1">
        <f t="shared" si="1"/>
        <v>19</v>
      </c>
      <c r="B21" s="8"/>
      <c r="C21" s="10"/>
      <c r="D21" s="10">
        <f>C21+май!D21</f>
        <v>0</v>
      </c>
      <c r="E21" s="11"/>
      <c r="F21" s="10">
        <f>E21+май!F21</f>
        <v>0</v>
      </c>
      <c r="G21" s="10">
        <f t="shared" si="0"/>
        <v>0</v>
      </c>
      <c r="H21" s="11">
        <f t="shared" si="0"/>
        <v>0</v>
      </c>
      <c r="I21" s="11"/>
      <c r="J21" s="11">
        <f>I21+май!J21</f>
        <v>0</v>
      </c>
      <c r="K21" s="10"/>
      <c r="L21" s="10">
        <f>K21+май!L21</f>
        <v>0</v>
      </c>
    </row>
    <row r="22" spans="1:12" ht="12.75">
      <c r="A22" s="1">
        <f t="shared" si="1"/>
        <v>20</v>
      </c>
      <c r="B22" s="8"/>
      <c r="C22" s="10"/>
      <c r="D22" s="10">
        <f>C22+май!D22</f>
        <v>0</v>
      </c>
      <c r="E22" s="11"/>
      <c r="F22" s="10">
        <f>E22+май!F22</f>
        <v>0</v>
      </c>
      <c r="G22" s="10">
        <f t="shared" si="0"/>
        <v>0</v>
      </c>
      <c r="H22" s="11">
        <f t="shared" si="0"/>
        <v>0</v>
      </c>
      <c r="I22" s="11"/>
      <c r="J22" s="11">
        <f>I22+май!J22</f>
        <v>0</v>
      </c>
      <c r="K22" s="10"/>
      <c r="L22" s="10">
        <f>K22+май!L22</f>
        <v>0</v>
      </c>
    </row>
    <row r="23" spans="1:12" ht="12.75">
      <c r="A23" s="1"/>
      <c r="B23" s="8" t="s">
        <v>13</v>
      </c>
      <c r="C23" s="10">
        <f aca="true" t="shared" si="2" ref="C23:L23">SUM(C3:C22)</f>
        <v>526343.04</v>
      </c>
      <c r="D23" s="10">
        <f t="shared" si="2"/>
        <v>3619501.9699999997</v>
      </c>
      <c r="E23" s="11">
        <f t="shared" si="2"/>
        <v>435618.56</v>
      </c>
      <c r="F23" s="10">
        <f t="shared" si="2"/>
        <v>2576809.1</v>
      </c>
      <c r="G23" s="10">
        <f t="shared" si="2"/>
        <v>-90724.47999999998</v>
      </c>
      <c r="H23" s="11">
        <f t="shared" si="2"/>
        <v>-1042692.8700000001</v>
      </c>
      <c r="I23" s="11">
        <f t="shared" si="2"/>
        <v>177986.03000000003</v>
      </c>
      <c r="J23" s="11">
        <f t="shared" si="2"/>
        <v>1701075.41</v>
      </c>
      <c r="K23" s="10">
        <f t="shared" si="2"/>
        <v>51968.14000000001</v>
      </c>
      <c r="L23" s="10">
        <f t="shared" si="2"/>
        <v>820314.1499999999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3.57421875" style="0" customWidth="1"/>
    <col min="2" max="2" width="20.140625" style="0" customWidth="1"/>
    <col min="3" max="3" width="10.7109375" style="0" customWidth="1"/>
    <col min="4" max="4" width="11.00390625" style="0" customWidth="1"/>
    <col min="5" max="5" width="11.28125" style="0" customWidth="1"/>
    <col min="6" max="6" width="11.00390625" style="0" customWidth="1"/>
    <col min="7" max="7" width="11.28125" style="0" customWidth="1"/>
    <col min="8" max="8" width="13.140625" style="0" customWidth="1"/>
    <col min="9" max="9" width="9.28125" style="0" bestFit="1" customWidth="1"/>
    <col min="10" max="10" width="10.8515625" style="0" customWidth="1"/>
    <col min="11" max="11" width="10.7109375" style="0" customWidth="1"/>
    <col min="12" max="12" width="13.57421875" style="0" customWidth="1"/>
  </cols>
  <sheetData>
    <row r="2" spans="1:12" ht="12.75">
      <c r="A2" s="1" t="s">
        <v>0</v>
      </c>
      <c r="B2" s="6" t="s">
        <v>1</v>
      </c>
      <c r="C2" s="5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6" t="s">
        <v>10</v>
      </c>
      <c r="L2" s="6" t="s">
        <v>11</v>
      </c>
    </row>
    <row r="3" spans="1:12" ht="15.75">
      <c r="A3" s="1">
        <v>1</v>
      </c>
      <c r="B3" s="17" t="s">
        <v>15</v>
      </c>
      <c r="C3" s="10">
        <f>22311.33+26209.37</f>
        <v>48520.7</v>
      </c>
      <c r="D3" s="10">
        <f>C3+июнь!D3</f>
        <v>385982.69</v>
      </c>
      <c r="E3" s="11">
        <f>21775.94+19658.33</f>
        <v>41434.270000000004</v>
      </c>
      <c r="F3" s="10">
        <f>E3+июнь!F3</f>
        <v>294596.79000000004</v>
      </c>
      <c r="G3" s="10">
        <f>E3-C3</f>
        <v>-7086.429999999993</v>
      </c>
      <c r="H3" s="11">
        <f>F3-D3</f>
        <v>-91385.89999999997</v>
      </c>
      <c r="I3" s="11"/>
      <c r="J3" s="11">
        <f>I3+июнь!J3</f>
        <v>0</v>
      </c>
      <c r="K3" s="10"/>
      <c r="L3" s="10">
        <f>K3+июнь!L3</f>
        <v>0</v>
      </c>
    </row>
    <row r="4" spans="1:12" ht="15.75">
      <c r="A4" s="1">
        <f>A3+1</f>
        <v>2</v>
      </c>
      <c r="B4" s="17" t="s">
        <v>16</v>
      </c>
      <c r="C4" s="10">
        <f>55208.15+64853.39</f>
        <v>120061.54000000001</v>
      </c>
      <c r="D4" s="10">
        <f>C4+июнь!D4</f>
        <v>941746.5300000001</v>
      </c>
      <c r="E4" s="11">
        <f>53876.44+48619.89</f>
        <v>102496.33</v>
      </c>
      <c r="F4" s="10">
        <f>E4+июнь!F4</f>
        <v>718099.86</v>
      </c>
      <c r="G4" s="10">
        <f aca="true" t="shared" si="0" ref="G4:H22">E4-C4</f>
        <v>-17565.210000000006</v>
      </c>
      <c r="H4" s="11">
        <f t="shared" si="0"/>
        <v>-223646.67000000016</v>
      </c>
      <c r="I4" s="11"/>
      <c r="J4" s="11">
        <f>I4+июнь!J4</f>
        <v>195587.56</v>
      </c>
      <c r="K4" s="10">
        <v>20080.83</v>
      </c>
      <c r="L4" s="10">
        <f>K4+июнь!L4</f>
        <v>190580.11</v>
      </c>
    </row>
    <row r="5" spans="1:12" ht="15.75">
      <c r="A5" s="1">
        <f aca="true" t="shared" si="1" ref="A5:A22">A4+1</f>
        <v>3</v>
      </c>
      <c r="B5" s="17" t="s">
        <v>18</v>
      </c>
      <c r="C5" s="10">
        <f>46296.94+50945.59</f>
        <v>97242.53</v>
      </c>
      <c r="D5" s="10">
        <f>C5+июнь!D5</f>
        <v>786180.0100000001</v>
      </c>
      <c r="E5" s="11">
        <f>53959.42+35523.77</f>
        <v>89483.19</v>
      </c>
      <c r="F5" s="10">
        <f>E5+июнь!F5</f>
        <v>598222.79</v>
      </c>
      <c r="G5" s="10">
        <f t="shared" si="0"/>
        <v>-7759.3399999999965</v>
      </c>
      <c r="H5" s="11">
        <f t="shared" si="0"/>
        <v>-187957.2200000001</v>
      </c>
      <c r="I5" s="11"/>
      <c r="J5" s="11">
        <f>I5+июнь!J5</f>
        <v>116446.43000000001</v>
      </c>
      <c r="K5" s="10">
        <f>40731.82-K4</f>
        <v>20650.989999999998</v>
      </c>
      <c r="L5" s="10">
        <f>K5+июнь!L5</f>
        <v>111296.81</v>
      </c>
    </row>
    <row r="6" spans="1:12" ht="15.75">
      <c r="A6" s="1">
        <f t="shared" si="1"/>
        <v>4</v>
      </c>
      <c r="B6" s="17" t="s">
        <v>19</v>
      </c>
      <c r="C6" s="10">
        <f>6399.9+6938.85</f>
        <v>13338.75</v>
      </c>
      <c r="D6" s="10">
        <f>C6+июнь!D6</f>
        <v>105097.40999999999</v>
      </c>
      <c r="E6" s="11">
        <f>7389.39+4840.84</f>
        <v>12230.23</v>
      </c>
      <c r="F6" s="10">
        <f>E6+июнь!F6</f>
        <v>79565.09999999999</v>
      </c>
      <c r="G6" s="10">
        <f t="shared" si="0"/>
        <v>-1108.5200000000004</v>
      </c>
      <c r="H6" s="11">
        <f t="shared" si="0"/>
        <v>-25532.309999999998</v>
      </c>
      <c r="I6" s="11"/>
      <c r="J6" s="11">
        <f>I6+июнь!J6</f>
        <v>0</v>
      </c>
      <c r="K6" s="10"/>
      <c r="L6" s="10">
        <f>K6+июнь!L6</f>
        <v>0</v>
      </c>
    </row>
    <row r="7" spans="1:12" ht="15.75">
      <c r="A7" s="1">
        <f t="shared" si="1"/>
        <v>5</v>
      </c>
      <c r="B7" s="18" t="s">
        <v>20</v>
      </c>
      <c r="C7" s="10">
        <f>3588.8+4215.69</f>
        <v>7804.49</v>
      </c>
      <c r="D7" s="10">
        <f>C7+июнь!D7</f>
        <v>62083.78999999999</v>
      </c>
      <c r="E7" s="11">
        <f>3502.68+3161.99</f>
        <v>6664.67</v>
      </c>
      <c r="F7" s="10">
        <f>E7+июнь!F7</f>
        <v>47384.48</v>
      </c>
      <c r="G7" s="10">
        <f t="shared" si="0"/>
        <v>-1139.8199999999997</v>
      </c>
      <c r="H7" s="11">
        <f t="shared" si="0"/>
        <v>-14699.30999999999</v>
      </c>
      <c r="I7" s="11"/>
      <c r="J7" s="11">
        <f>I7+июнь!J7</f>
        <v>0</v>
      </c>
      <c r="K7" s="10"/>
      <c r="L7" s="10">
        <f>K7+июнь!L7</f>
        <v>0</v>
      </c>
    </row>
    <row r="8" spans="1:12" ht="15.75">
      <c r="A8" s="1">
        <f t="shared" si="1"/>
        <v>6</v>
      </c>
      <c r="B8" s="17" t="s">
        <v>30</v>
      </c>
      <c r="C8" s="10"/>
      <c r="D8" s="10">
        <f>C8+июнь!D8</f>
        <v>0</v>
      </c>
      <c r="E8" s="11"/>
      <c r="F8" s="10">
        <f>E8+июнь!F8</f>
        <v>0</v>
      </c>
      <c r="G8" s="10">
        <f t="shared" si="0"/>
        <v>0</v>
      </c>
      <c r="H8" s="11">
        <f t="shared" si="0"/>
        <v>0</v>
      </c>
      <c r="I8" s="11"/>
      <c r="J8" s="11">
        <f>I8+июнь!J8</f>
        <v>0</v>
      </c>
      <c r="K8" s="10"/>
      <c r="L8" s="10">
        <f>K8+июнь!L8</f>
        <v>0</v>
      </c>
    </row>
    <row r="9" spans="1:12" ht="15.75">
      <c r="A9" s="1">
        <f t="shared" si="1"/>
        <v>7</v>
      </c>
      <c r="B9" s="17" t="s">
        <v>21</v>
      </c>
      <c r="C9" s="10">
        <f>45053.48+49193.77</f>
        <v>94247.25</v>
      </c>
      <c r="D9" s="10">
        <f>C9+июнь!D9</f>
        <v>760541.25</v>
      </c>
      <c r="E9" s="11">
        <f>53826.18+31615.26</f>
        <v>85441.44</v>
      </c>
      <c r="F9" s="10">
        <f>E9+июнь!F9</f>
        <v>512750.1700000001</v>
      </c>
      <c r="G9" s="10">
        <f t="shared" si="0"/>
        <v>-8805.809999999998</v>
      </c>
      <c r="H9" s="11">
        <f t="shared" si="0"/>
        <v>-247791.0799999999</v>
      </c>
      <c r="I9" s="11"/>
      <c r="J9" s="11">
        <f>I9+июнь!J9</f>
        <v>815988.3999999999</v>
      </c>
      <c r="K9" s="10"/>
      <c r="L9" s="10">
        <f>K9+июнь!L9</f>
        <v>255615.97000000003</v>
      </c>
    </row>
    <row r="10" spans="1:12" ht="15.75">
      <c r="A10" s="1">
        <f t="shared" si="1"/>
        <v>8</v>
      </c>
      <c r="B10" s="17" t="s">
        <v>22</v>
      </c>
      <c r="C10" s="10">
        <f>16980.32+18723.73</f>
        <v>35704.05</v>
      </c>
      <c r="D10" s="10">
        <f>C10+июнь!D10</f>
        <v>292016.12</v>
      </c>
      <c r="E10" s="11">
        <f>18343.85+12116.95</f>
        <v>30460.8</v>
      </c>
      <c r="F10" s="10">
        <f>E10+июнь!F10</f>
        <v>196074.3</v>
      </c>
      <c r="G10" s="10">
        <f t="shared" si="0"/>
        <v>-5243.250000000004</v>
      </c>
      <c r="H10" s="11">
        <f t="shared" si="0"/>
        <v>-95941.82</v>
      </c>
      <c r="I10" s="11"/>
      <c r="J10" s="11">
        <f>I10+июнь!J10</f>
        <v>207671.99000000002</v>
      </c>
      <c r="K10" s="10">
        <v>26413.12</v>
      </c>
      <c r="L10" s="10">
        <f>K10+июнь!L10</f>
        <v>133119.44999999998</v>
      </c>
    </row>
    <row r="11" spans="1:12" ht="15.75">
      <c r="A11" s="1">
        <f t="shared" si="1"/>
        <v>9</v>
      </c>
      <c r="B11" s="17" t="s">
        <v>23</v>
      </c>
      <c r="C11" s="10">
        <f>16980.33+18723.73</f>
        <v>35704.06</v>
      </c>
      <c r="D11" s="10">
        <f>C11+июнь!D11</f>
        <v>292016.14</v>
      </c>
      <c r="E11" s="11">
        <f>18343.84+12116.95</f>
        <v>30460.79</v>
      </c>
      <c r="F11" s="10">
        <f>E11+июнь!F11</f>
        <v>196074.39</v>
      </c>
      <c r="G11" s="10">
        <f t="shared" si="0"/>
        <v>-5243.269999999997</v>
      </c>
      <c r="H11" s="11">
        <f t="shared" si="0"/>
        <v>-95941.75</v>
      </c>
      <c r="I11" s="11"/>
      <c r="J11" s="11">
        <f>I11+июнь!J11</f>
        <v>207671.99000000002</v>
      </c>
      <c r="K11" s="10">
        <v>26413.12</v>
      </c>
      <c r="L11" s="10">
        <f>K11+июнь!L11</f>
        <v>133119.44999999998</v>
      </c>
    </row>
    <row r="12" spans="1:12" ht="15.75">
      <c r="A12" s="1">
        <f t="shared" si="1"/>
        <v>10</v>
      </c>
      <c r="B12" s="17" t="s">
        <v>24</v>
      </c>
      <c r="C12" s="10">
        <f>11602.48+12762.88</f>
        <v>24365.36</v>
      </c>
      <c r="D12" s="10">
        <f>C12+июнь!D12</f>
        <v>195879.63</v>
      </c>
      <c r="E12" s="11">
        <f>13574.79+8929.27</f>
        <v>22504.06</v>
      </c>
      <c r="F12" s="10">
        <f>E12+июнь!F12</f>
        <v>149149.1</v>
      </c>
      <c r="G12" s="10">
        <f t="shared" si="0"/>
        <v>-1861.2999999999993</v>
      </c>
      <c r="H12" s="11">
        <f t="shared" si="0"/>
        <v>-46730.53</v>
      </c>
      <c r="I12" s="11"/>
      <c r="J12" s="11">
        <f>I12+июнь!J12</f>
        <v>124928.1</v>
      </c>
      <c r="K12" s="10">
        <v>20957.64</v>
      </c>
      <c r="L12" s="10">
        <f>K12+июнь!L12</f>
        <v>83325.20999999999</v>
      </c>
    </row>
    <row r="13" spans="1:12" ht="15.75">
      <c r="A13" s="1">
        <f t="shared" si="1"/>
        <v>11</v>
      </c>
      <c r="B13" s="17" t="s">
        <v>25</v>
      </c>
      <c r="C13" s="10">
        <f>13798.49+16209.27</f>
        <v>30007.760000000002</v>
      </c>
      <c r="D13" s="10">
        <f>C13+июнь!D13</f>
        <v>238875.41000000003</v>
      </c>
      <c r="E13" s="11">
        <f>13467.44+12157.66</f>
        <v>25625.1</v>
      </c>
      <c r="F13" s="10">
        <f>E13+июнь!F13</f>
        <v>182194.24</v>
      </c>
      <c r="G13" s="10">
        <f t="shared" si="0"/>
        <v>-4382.6600000000035</v>
      </c>
      <c r="H13" s="11">
        <f t="shared" si="0"/>
        <v>-56681.17000000004</v>
      </c>
      <c r="I13" s="11"/>
      <c r="J13" s="11">
        <f>I13+июнь!J13</f>
        <v>0</v>
      </c>
      <c r="K13" s="10"/>
      <c r="L13" s="10">
        <f>K13+июнь!L13</f>
        <v>0</v>
      </c>
    </row>
    <row r="14" spans="1:12" ht="15.75">
      <c r="A14" s="1">
        <f t="shared" si="1"/>
        <v>12</v>
      </c>
      <c r="B14" s="17" t="s">
        <v>26</v>
      </c>
      <c r="C14" s="10">
        <f>3225.14+3856.23</f>
        <v>7081.37</v>
      </c>
      <c r="D14" s="10">
        <f>C14+июнь!D14</f>
        <v>54632.850000000006</v>
      </c>
      <c r="E14" s="11">
        <f>3119.36+2892.33</f>
        <v>6011.6900000000005</v>
      </c>
      <c r="F14" s="10">
        <f>E14+июнь!F14</f>
        <v>42883.94</v>
      </c>
      <c r="G14" s="10">
        <f t="shared" si="0"/>
        <v>-1069.6799999999994</v>
      </c>
      <c r="H14" s="11">
        <f t="shared" si="0"/>
        <v>-11748.910000000003</v>
      </c>
      <c r="I14" s="11"/>
      <c r="J14" s="11">
        <f>I14+июнь!J14</f>
        <v>0</v>
      </c>
      <c r="K14" s="10"/>
      <c r="L14" s="10">
        <f>K14+июнь!L14</f>
        <v>0</v>
      </c>
    </row>
    <row r="15" spans="1:12" ht="15.75">
      <c r="A15" s="1">
        <f t="shared" si="1"/>
        <v>13</v>
      </c>
      <c r="B15" s="17" t="s">
        <v>27</v>
      </c>
      <c r="C15" s="10">
        <f>1112.81+1307.19</f>
        <v>2420</v>
      </c>
      <c r="D15" s="10">
        <f>C15+июнь!D15</f>
        <v>20948</v>
      </c>
      <c r="E15" s="11">
        <f>1086.1+980.46</f>
        <v>2066.56</v>
      </c>
      <c r="F15" s="10">
        <f>E15+июнь!F15</f>
        <v>14693.069999999998</v>
      </c>
      <c r="G15" s="10">
        <f t="shared" si="0"/>
        <v>-353.44000000000005</v>
      </c>
      <c r="H15" s="11">
        <f t="shared" si="0"/>
        <v>-6254.930000000002</v>
      </c>
      <c r="I15" s="11"/>
      <c r="J15" s="11">
        <f>I15+июнь!J15</f>
        <v>0</v>
      </c>
      <c r="K15" s="10"/>
      <c r="L15" s="10">
        <f>K15+июнь!L15</f>
        <v>0</v>
      </c>
    </row>
    <row r="16" spans="1:12" ht="15.75">
      <c r="A16" s="1">
        <f t="shared" si="1"/>
        <v>14</v>
      </c>
      <c r="B16" s="17" t="s">
        <v>28</v>
      </c>
      <c r="C16" s="10"/>
      <c r="D16" s="10">
        <f>C16+июнь!D16</f>
        <v>0</v>
      </c>
      <c r="E16" s="11"/>
      <c r="F16" s="10">
        <f>E16+июнь!F16</f>
        <v>0</v>
      </c>
      <c r="G16" s="10">
        <f t="shared" si="0"/>
        <v>0</v>
      </c>
      <c r="H16" s="11">
        <f t="shared" si="0"/>
        <v>0</v>
      </c>
      <c r="I16" s="11"/>
      <c r="J16" s="11">
        <f>I16+июнь!J16</f>
        <v>0</v>
      </c>
      <c r="K16" s="10"/>
      <c r="L16" s="10">
        <f>K16+июнь!L16</f>
        <v>0</v>
      </c>
    </row>
    <row r="17" spans="1:12" ht="15.75">
      <c r="A17" s="1">
        <f t="shared" si="1"/>
        <v>15</v>
      </c>
      <c r="B17" s="17" t="s">
        <v>29</v>
      </c>
      <c r="C17" s="10"/>
      <c r="D17" s="10">
        <f>C17+июнь!D17</f>
        <v>0</v>
      </c>
      <c r="E17" s="11"/>
      <c r="F17" s="10">
        <f>E17+июнь!F17</f>
        <v>0</v>
      </c>
      <c r="G17" s="10">
        <f t="shared" si="0"/>
        <v>0</v>
      </c>
      <c r="H17" s="11">
        <f t="shared" si="0"/>
        <v>0</v>
      </c>
      <c r="I17" s="11"/>
      <c r="J17" s="11">
        <f>I17+июнь!J17</f>
        <v>0</v>
      </c>
      <c r="K17" s="10"/>
      <c r="L17" s="10">
        <f>K17+июнь!L17</f>
        <v>0</v>
      </c>
    </row>
    <row r="18" spans="1:12" ht="12.75">
      <c r="A18" s="1">
        <f t="shared" si="1"/>
        <v>16</v>
      </c>
      <c r="B18" s="8" t="s">
        <v>31</v>
      </c>
      <c r="C18" s="10"/>
      <c r="D18" s="10">
        <f>C18+июнь!D18</f>
        <v>0</v>
      </c>
      <c r="E18" s="11"/>
      <c r="F18" s="10">
        <f>E18+июнь!F18</f>
        <v>0</v>
      </c>
      <c r="G18" s="10">
        <f t="shared" si="0"/>
        <v>0</v>
      </c>
      <c r="H18" s="11">
        <f t="shared" si="0"/>
        <v>0</v>
      </c>
      <c r="I18" s="11">
        <v>2508.09</v>
      </c>
      <c r="J18" s="11">
        <f>I18+июнь!J18</f>
        <v>17556.63</v>
      </c>
      <c r="K18" s="10">
        <f>I18*2</f>
        <v>5016.18</v>
      </c>
      <c r="L18" s="10">
        <f>K18+июнь!L18</f>
        <v>17556.63</v>
      </c>
    </row>
    <row r="19" spans="1:12" ht="12.75">
      <c r="A19" s="1">
        <f t="shared" si="1"/>
        <v>17</v>
      </c>
      <c r="B19" s="13" t="s">
        <v>32</v>
      </c>
      <c r="C19" s="10"/>
      <c r="D19" s="10">
        <f>C19+июнь!D19</f>
        <v>0</v>
      </c>
      <c r="E19" s="11"/>
      <c r="F19" s="10">
        <f>E19+июнь!F19</f>
        <v>0</v>
      </c>
      <c r="G19" s="10">
        <f t="shared" si="0"/>
        <v>0</v>
      </c>
      <c r="H19" s="11">
        <f t="shared" si="0"/>
        <v>0</v>
      </c>
      <c r="I19" s="11">
        <v>546.48</v>
      </c>
      <c r="J19" s="11">
        <f>I19+июнь!J19</f>
        <v>3278.88</v>
      </c>
      <c r="K19" s="11">
        <v>546.48</v>
      </c>
      <c r="L19" s="10">
        <f>K19+июнь!L19</f>
        <v>3278.88</v>
      </c>
    </row>
    <row r="20" spans="1:12" ht="12.75">
      <c r="A20" s="1">
        <f t="shared" si="1"/>
        <v>18</v>
      </c>
      <c r="B20" s="13" t="s">
        <v>33</v>
      </c>
      <c r="C20" s="10"/>
      <c r="D20" s="10">
        <f>C20+июнь!D20</f>
        <v>0</v>
      </c>
      <c r="E20" s="11"/>
      <c r="F20" s="10">
        <f>E20+июнь!F20</f>
        <v>0</v>
      </c>
      <c r="G20" s="10">
        <f t="shared" si="0"/>
        <v>0</v>
      </c>
      <c r="H20" s="11">
        <f t="shared" si="0"/>
        <v>0</v>
      </c>
      <c r="I20" s="11">
        <v>2500</v>
      </c>
      <c r="J20" s="11">
        <f>I20+июнь!J20</f>
        <v>17500</v>
      </c>
      <c r="K20" s="11">
        <v>2500</v>
      </c>
      <c r="L20" s="10">
        <f>K20+июнь!L20</f>
        <v>15000</v>
      </c>
    </row>
    <row r="21" spans="1:12" ht="12.75">
      <c r="A21" s="1">
        <f t="shared" si="1"/>
        <v>19</v>
      </c>
      <c r="B21" s="8"/>
      <c r="C21" s="10"/>
      <c r="D21" s="10">
        <f>C21+июнь!D21</f>
        <v>0</v>
      </c>
      <c r="E21" s="11"/>
      <c r="F21" s="10">
        <f>E21+июнь!F21</f>
        <v>0</v>
      </c>
      <c r="G21" s="10">
        <f t="shared" si="0"/>
        <v>0</v>
      </c>
      <c r="H21" s="11">
        <f t="shared" si="0"/>
        <v>0</v>
      </c>
      <c r="I21" s="11"/>
      <c r="J21" s="11">
        <f>I21+июнь!J21</f>
        <v>0</v>
      </c>
      <c r="K21" s="10"/>
      <c r="L21" s="10">
        <f>K21+июнь!L21</f>
        <v>0</v>
      </c>
    </row>
    <row r="22" spans="1:12" ht="12.75">
      <c r="A22" s="1">
        <f t="shared" si="1"/>
        <v>20</v>
      </c>
      <c r="B22" s="8"/>
      <c r="C22" s="10"/>
      <c r="D22" s="10">
        <f>C22+июнь!D22</f>
        <v>0</v>
      </c>
      <c r="E22" s="11"/>
      <c r="F22" s="10">
        <f>E22+июнь!F22</f>
        <v>0</v>
      </c>
      <c r="G22" s="10">
        <f t="shared" si="0"/>
        <v>0</v>
      </c>
      <c r="H22" s="11">
        <f t="shared" si="0"/>
        <v>0</v>
      </c>
      <c r="I22" s="11"/>
      <c r="J22" s="11">
        <f>I22+июнь!J22</f>
        <v>0</v>
      </c>
      <c r="K22" s="10"/>
      <c r="L22" s="10">
        <f>K22+июнь!L22</f>
        <v>0</v>
      </c>
    </row>
    <row r="23" spans="1:12" ht="12.75">
      <c r="A23" s="1"/>
      <c r="B23" s="8" t="s">
        <v>13</v>
      </c>
      <c r="C23" s="10">
        <f aca="true" t="shared" si="2" ref="C23:L23">SUM(C3:C22)</f>
        <v>516497.86</v>
      </c>
      <c r="D23" s="10">
        <f t="shared" si="2"/>
        <v>4135999.830000001</v>
      </c>
      <c r="E23" s="11">
        <f t="shared" si="2"/>
        <v>454879.12999999995</v>
      </c>
      <c r="F23" s="10">
        <f t="shared" si="2"/>
        <v>3031688.2299999995</v>
      </c>
      <c r="G23" s="10">
        <f t="shared" si="2"/>
        <v>-61618.73</v>
      </c>
      <c r="H23" s="11">
        <f t="shared" si="2"/>
        <v>-1104311.6</v>
      </c>
      <c r="I23" s="11">
        <f t="shared" si="2"/>
        <v>5554.57</v>
      </c>
      <c r="J23" s="11">
        <f t="shared" si="2"/>
        <v>1706629.9799999997</v>
      </c>
      <c r="K23" s="10">
        <f t="shared" si="2"/>
        <v>122578.36</v>
      </c>
      <c r="L23" s="10">
        <f t="shared" si="2"/>
        <v>942892.5099999999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4.421875" style="0" customWidth="1"/>
    <col min="2" max="2" width="19.00390625" style="0" customWidth="1"/>
    <col min="3" max="3" width="10.140625" style="0" bestFit="1" customWidth="1"/>
    <col min="4" max="4" width="11.7109375" style="0" customWidth="1"/>
    <col min="5" max="5" width="10.140625" style="0" bestFit="1" customWidth="1"/>
    <col min="6" max="6" width="11.57421875" style="0" customWidth="1"/>
    <col min="7" max="7" width="9.7109375" style="0" bestFit="1" customWidth="1"/>
    <col min="8" max="8" width="12.28125" style="0" customWidth="1"/>
    <col min="9" max="9" width="9.28125" style="0" bestFit="1" customWidth="1"/>
    <col min="10" max="10" width="10.8515625" style="0" customWidth="1"/>
    <col min="11" max="11" width="9.28125" style="0" bestFit="1" customWidth="1"/>
    <col min="12" max="12" width="11.140625" style="0" customWidth="1"/>
  </cols>
  <sheetData>
    <row r="2" spans="1:12" ht="12.75">
      <c r="A2" s="1" t="s">
        <v>0</v>
      </c>
      <c r="B2" s="6" t="s">
        <v>1</v>
      </c>
      <c r="C2" s="5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6" t="s">
        <v>10</v>
      </c>
      <c r="L2" s="6" t="s">
        <v>11</v>
      </c>
    </row>
    <row r="3" spans="1:12" ht="15.75">
      <c r="A3" s="1">
        <v>1</v>
      </c>
      <c r="B3" s="17" t="s">
        <v>15</v>
      </c>
      <c r="C3" s="10">
        <f>26768.87+23628.76</f>
        <v>50397.63</v>
      </c>
      <c r="D3" s="10">
        <f>C3+июль!D3</f>
        <v>436380.32</v>
      </c>
      <c r="E3" s="11">
        <f>18603.94+26436.53</f>
        <v>45040.47</v>
      </c>
      <c r="F3" s="10">
        <f>E3+июль!F3</f>
        <v>339637.26</v>
      </c>
      <c r="G3" s="10">
        <f>E3-C3</f>
        <v>-5357.159999999996</v>
      </c>
      <c r="H3" s="11">
        <f>F3-D3</f>
        <v>-96743.06</v>
      </c>
      <c r="I3" s="11"/>
      <c r="J3" s="11">
        <f>I3+июль!J3</f>
        <v>0</v>
      </c>
      <c r="K3" s="10"/>
      <c r="L3" s="10">
        <f>K3+июль!L3</f>
        <v>0</v>
      </c>
    </row>
    <row r="4" spans="1:12" ht="15.75">
      <c r="A4" s="1">
        <f>A3+1</f>
        <v>2</v>
      </c>
      <c r="B4" s="17" t="s">
        <v>16</v>
      </c>
      <c r="C4" s="10">
        <f>62792.98+55427.14</f>
        <v>118220.12</v>
      </c>
      <c r="D4" s="10">
        <f>C4+июль!D4</f>
        <v>1059966.6500000001</v>
      </c>
      <c r="E4" s="11">
        <f>44961.84+63495.69</f>
        <v>108457.53</v>
      </c>
      <c r="F4" s="10">
        <f>E4+июль!F4</f>
        <v>826557.39</v>
      </c>
      <c r="G4" s="10">
        <f aca="true" t="shared" si="0" ref="G4:H22">E4-C4</f>
        <v>-9762.589999999997</v>
      </c>
      <c r="H4" s="11">
        <f t="shared" si="0"/>
        <v>-233409.26000000013</v>
      </c>
      <c r="I4" s="11"/>
      <c r="J4" s="11">
        <f>I4+июль!J4</f>
        <v>195587.56</v>
      </c>
      <c r="K4" s="10"/>
      <c r="L4" s="10">
        <f>K4+июль!L4</f>
        <v>190580.11</v>
      </c>
    </row>
    <row r="5" spans="1:12" ht="15.75">
      <c r="A5" s="1">
        <f aca="true" t="shared" si="1" ref="A5:A22">A4+1</f>
        <v>3</v>
      </c>
      <c r="B5" s="17" t="s">
        <v>18</v>
      </c>
      <c r="C5" s="10">
        <f>53434.08+48783.45</f>
        <v>102217.53</v>
      </c>
      <c r="D5" s="10">
        <f>C5+июль!D5</f>
        <v>888397.5400000002</v>
      </c>
      <c r="E5" s="11">
        <f>37624.91+47222.98</f>
        <v>84847.89000000001</v>
      </c>
      <c r="F5" s="10">
        <f>E5+июль!F5</f>
        <v>683070.68</v>
      </c>
      <c r="G5" s="10">
        <f t="shared" si="0"/>
        <v>-17369.639999999985</v>
      </c>
      <c r="H5" s="11">
        <f t="shared" si="0"/>
        <v>-205326.8600000001</v>
      </c>
      <c r="I5" s="11"/>
      <c r="J5" s="11">
        <f>I5+июль!J5</f>
        <v>116446.43000000001</v>
      </c>
      <c r="K5" s="10"/>
      <c r="L5" s="10">
        <f>K5+июль!L5</f>
        <v>111296.81</v>
      </c>
    </row>
    <row r="6" spans="1:12" ht="15.75">
      <c r="A6" s="1">
        <f t="shared" si="1"/>
        <v>4</v>
      </c>
      <c r="B6" s="17" t="s">
        <v>19</v>
      </c>
      <c r="C6" s="10">
        <f>7361.88+6641.1</f>
        <v>14002.98</v>
      </c>
      <c r="D6" s="10">
        <f>C6+июль!D6</f>
        <v>119100.38999999998</v>
      </c>
      <c r="E6" s="11">
        <f>5184.59+6498.7</f>
        <v>11683.29</v>
      </c>
      <c r="F6" s="10">
        <f>E6+июль!F6</f>
        <v>91248.38999999998</v>
      </c>
      <c r="G6" s="10">
        <f t="shared" si="0"/>
        <v>-2319.6899999999987</v>
      </c>
      <c r="H6" s="11">
        <f t="shared" si="0"/>
        <v>-27852</v>
      </c>
      <c r="I6" s="11"/>
      <c r="J6" s="11">
        <f>I6+июль!J6</f>
        <v>0</v>
      </c>
      <c r="K6" s="10"/>
      <c r="L6" s="10">
        <f>K6+июль!L6</f>
        <v>0</v>
      </c>
    </row>
    <row r="7" spans="1:12" ht="15.75">
      <c r="A7" s="1">
        <f t="shared" si="1"/>
        <v>5</v>
      </c>
      <c r="B7" s="18" t="s">
        <v>20</v>
      </c>
      <c r="C7" s="10">
        <f>3603.03+4081.76</f>
        <v>7684.790000000001</v>
      </c>
      <c r="D7" s="10">
        <f>C7+июль!D7</f>
        <v>69768.57999999999</v>
      </c>
      <c r="E7" s="11">
        <f>2929.23+4132.26</f>
        <v>7061.49</v>
      </c>
      <c r="F7" s="10">
        <f>E7+июль!F7</f>
        <v>54445.97</v>
      </c>
      <c r="G7" s="10">
        <f t="shared" si="0"/>
        <v>-623.3000000000011</v>
      </c>
      <c r="H7" s="11">
        <f t="shared" si="0"/>
        <v>-15322.609999999986</v>
      </c>
      <c r="I7" s="11"/>
      <c r="J7" s="11">
        <f>I7+июль!J7</f>
        <v>0</v>
      </c>
      <c r="K7" s="10"/>
      <c r="L7" s="10">
        <f>K7+июль!L7</f>
        <v>0</v>
      </c>
    </row>
    <row r="8" spans="1:12" ht="15.75">
      <c r="A8" s="1">
        <f t="shared" si="1"/>
        <v>6</v>
      </c>
      <c r="B8" s="17" t="s">
        <v>30</v>
      </c>
      <c r="C8" s="10"/>
      <c r="D8" s="10">
        <f>C8+июль!D8</f>
        <v>0</v>
      </c>
      <c r="E8" s="11"/>
      <c r="F8" s="10">
        <f>E8+июль!F8</f>
        <v>0</v>
      </c>
      <c r="G8" s="10">
        <f t="shared" si="0"/>
        <v>0</v>
      </c>
      <c r="H8" s="11">
        <f t="shared" si="0"/>
        <v>0</v>
      </c>
      <c r="I8" s="11"/>
      <c r="J8" s="11">
        <f>I8+июль!J8</f>
        <v>0</v>
      </c>
      <c r="K8" s="10"/>
      <c r="L8" s="10">
        <f>K8+июль!L8</f>
        <v>0</v>
      </c>
    </row>
    <row r="9" spans="1:12" ht="15.75">
      <c r="A9" s="1">
        <f t="shared" si="1"/>
        <v>7</v>
      </c>
      <c r="B9" s="17" t="s">
        <v>21</v>
      </c>
      <c r="C9" s="10">
        <f>40557.97+35106.8</f>
        <v>75664.77</v>
      </c>
      <c r="D9" s="10">
        <f>C9+июль!D9</f>
        <v>836206.02</v>
      </c>
      <c r="E9" s="11">
        <f>33689.76+42290.14</f>
        <v>75979.9</v>
      </c>
      <c r="F9" s="10">
        <f>E9+июль!F9</f>
        <v>588730.0700000001</v>
      </c>
      <c r="G9" s="10">
        <f t="shared" si="0"/>
        <v>315.1299999999901</v>
      </c>
      <c r="H9" s="11">
        <f t="shared" si="0"/>
        <v>-247475.94999999995</v>
      </c>
      <c r="I9" s="11"/>
      <c r="J9" s="11">
        <f>I9+июль!J9</f>
        <v>815988.3999999999</v>
      </c>
      <c r="K9" s="10"/>
      <c r="L9" s="10">
        <f>K9+июль!L9</f>
        <v>255615.97000000003</v>
      </c>
    </row>
    <row r="10" spans="1:12" ht="15.75">
      <c r="A10" s="1">
        <f t="shared" si="1"/>
        <v>8</v>
      </c>
      <c r="B10" s="17" t="s">
        <v>22</v>
      </c>
      <c r="C10" s="10">
        <f>19635.77+17924.51</f>
        <v>37560.28</v>
      </c>
      <c r="D10" s="10">
        <f>C10+июль!D10</f>
        <v>329576.4</v>
      </c>
      <c r="E10" s="11">
        <f>14132.77+16870.49</f>
        <v>31003.260000000002</v>
      </c>
      <c r="F10" s="10">
        <f>E10+июль!F10</f>
        <v>227077.56</v>
      </c>
      <c r="G10" s="10">
        <f t="shared" si="0"/>
        <v>-6557.019999999997</v>
      </c>
      <c r="H10" s="11">
        <f t="shared" si="0"/>
        <v>-102498.84000000003</v>
      </c>
      <c r="I10" s="11"/>
      <c r="J10" s="11">
        <f>I10+июль!J10</f>
        <v>207671.99000000002</v>
      </c>
      <c r="K10" s="10"/>
      <c r="L10" s="10">
        <f>K10+июль!L10</f>
        <v>133119.44999999998</v>
      </c>
    </row>
    <row r="11" spans="1:12" ht="15.75">
      <c r="A11" s="1">
        <f t="shared" si="1"/>
        <v>9</v>
      </c>
      <c r="B11" s="17" t="s">
        <v>23</v>
      </c>
      <c r="C11" s="10">
        <f>19635.77+17924.51</f>
        <v>37560.28</v>
      </c>
      <c r="D11" s="10">
        <f>C11+июль!D11</f>
        <v>329576.42000000004</v>
      </c>
      <c r="E11" s="11">
        <f>14132.76+16870.48</f>
        <v>31003.239999999998</v>
      </c>
      <c r="F11" s="10">
        <f>E11+июль!F11</f>
        <v>227077.63</v>
      </c>
      <c r="G11" s="10">
        <f t="shared" si="0"/>
        <v>-6557.040000000001</v>
      </c>
      <c r="H11" s="11">
        <f t="shared" si="0"/>
        <v>-102498.79000000004</v>
      </c>
      <c r="I11" s="11"/>
      <c r="J11" s="11">
        <f>I11+июль!J11</f>
        <v>207671.99000000002</v>
      </c>
      <c r="K11" s="10"/>
      <c r="L11" s="10">
        <f>K11+июль!L11</f>
        <v>133119.44999999998</v>
      </c>
    </row>
    <row r="12" spans="1:12" ht="15.75">
      <c r="A12" s="1">
        <f t="shared" si="1"/>
        <v>10</v>
      </c>
      <c r="B12" s="17" t="s">
        <v>24</v>
      </c>
      <c r="C12" s="10">
        <f>13383.95+12218.27</f>
        <v>25602.22</v>
      </c>
      <c r="D12" s="10">
        <f>C12+июль!D12</f>
        <v>221481.85</v>
      </c>
      <c r="E12" s="11">
        <f>9433.65+11840.58</f>
        <v>21274.23</v>
      </c>
      <c r="F12" s="10">
        <f>E12+июль!F12</f>
        <v>170423.33000000002</v>
      </c>
      <c r="G12" s="10">
        <f t="shared" si="0"/>
        <v>-4327.990000000002</v>
      </c>
      <c r="H12" s="11">
        <f t="shared" si="0"/>
        <v>-51058.51999999999</v>
      </c>
      <c r="I12" s="11"/>
      <c r="J12" s="11">
        <f>I12+июль!J12</f>
        <v>124928.1</v>
      </c>
      <c r="K12" s="10"/>
      <c r="L12" s="10">
        <f>K12+июль!L12</f>
        <v>83325.20999999999</v>
      </c>
    </row>
    <row r="13" spans="1:12" ht="15.75">
      <c r="A13" s="1">
        <f t="shared" si="1"/>
        <v>11</v>
      </c>
      <c r="B13" s="17" t="s">
        <v>25</v>
      </c>
      <c r="C13" s="10">
        <f>14188.42+16074.03</f>
        <v>30262.45</v>
      </c>
      <c r="D13" s="10">
        <f>C13+июль!D13</f>
        <v>269137.86000000004</v>
      </c>
      <c r="E13" s="11">
        <f>11369.79+16144.44</f>
        <v>27514.230000000003</v>
      </c>
      <c r="F13" s="10">
        <f>E13+июль!F13</f>
        <v>209708.47</v>
      </c>
      <c r="G13" s="10">
        <f t="shared" si="0"/>
        <v>-2748.2199999999975</v>
      </c>
      <c r="H13" s="11">
        <f t="shared" si="0"/>
        <v>-59429.39000000004</v>
      </c>
      <c r="I13" s="11"/>
      <c r="J13" s="11">
        <f>I13+июль!J13</f>
        <v>0</v>
      </c>
      <c r="K13" s="10"/>
      <c r="L13" s="10">
        <f>K13+июль!L13</f>
        <v>0</v>
      </c>
    </row>
    <row r="14" spans="1:12" ht="15.75">
      <c r="A14" s="1">
        <f t="shared" si="1"/>
        <v>12</v>
      </c>
      <c r="B14" s="17" t="s">
        <v>26</v>
      </c>
      <c r="C14" s="10">
        <f>3238.17+3733.71</f>
        <v>6971.88</v>
      </c>
      <c r="D14" s="10">
        <f>C14+июль!D14</f>
        <v>61604.73</v>
      </c>
      <c r="E14" s="11">
        <f>3779.9+2648.87</f>
        <v>6428.77</v>
      </c>
      <c r="F14" s="10">
        <f>E14+июль!F14</f>
        <v>49312.71000000001</v>
      </c>
      <c r="G14" s="10">
        <f t="shared" si="0"/>
        <v>-543.1099999999997</v>
      </c>
      <c r="H14" s="11">
        <f t="shared" si="0"/>
        <v>-12292.019999999997</v>
      </c>
      <c r="I14" s="11"/>
      <c r="J14" s="11">
        <f>I14+июль!J14</f>
        <v>0</v>
      </c>
      <c r="K14" s="10"/>
      <c r="L14" s="10">
        <f>K14+июль!L14</f>
        <v>0</v>
      </c>
    </row>
    <row r="15" spans="1:12" ht="15.75">
      <c r="A15" s="1">
        <f t="shared" si="1"/>
        <v>13</v>
      </c>
      <c r="B15" s="17" t="s">
        <v>27</v>
      </c>
      <c r="C15" s="10">
        <f>1340.63+1518.81</f>
        <v>2859.44</v>
      </c>
      <c r="D15" s="10">
        <f>C15+июль!D15</f>
        <v>23807.44</v>
      </c>
      <c r="E15" s="11">
        <f>979.69+1417.01</f>
        <v>2396.7</v>
      </c>
      <c r="F15" s="10">
        <f>E15+июль!F15</f>
        <v>17089.769999999997</v>
      </c>
      <c r="G15" s="10">
        <f t="shared" si="0"/>
        <v>-462.74000000000024</v>
      </c>
      <c r="H15" s="11">
        <f t="shared" si="0"/>
        <v>-6717.670000000002</v>
      </c>
      <c r="I15" s="11"/>
      <c r="J15" s="11">
        <f>I15+июль!J15</f>
        <v>0</v>
      </c>
      <c r="K15" s="10"/>
      <c r="L15" s="10">
        <f>K15+июль!L15</f>
        <v>0</v>
      </c>
    </row>
    <row r="16" spans="1:12" ht="15.75">
      <c r="A16" s="1">
        <f t="shared" si="1"/>
        <v>14</v>
      </c>
      <c r="B16" s="17" t="s">
        <v>28</v>
      </c>
      <c r="C16" s="10"/>
      <c r="D16" s="10">
        <f>C16+июль!D16</f>
        <v>0</v>
      </c>
      <c r="E16" s="11"/>
      <c r="F16" s="10">
        <f>E16+июль!F16</f>
        <v>0</v>
      </c>
      <c r="G16" s="10">
        <f t="shared" si="0"/>
        <v>0</v>
      </c>
      <c r="H16" s="11">
        <f t="shared" si="0"/>
        <v>0</v>
      </c>
      <c r="I16" s="11"/>
      <c r="J16" s="11">
        <f>I16+июль!J16</f>
        <v>0</v>
      </c>
      <c r="K16" s="10"/>
      <c r="L16" s="10">
        <f>K16+июль!L16</f>
        <v>0</v>
      </c>
    </row>
    <row r="17" spans="1:12" ht="15.75">
      <c r="A17" s="1">
        <f t="shared" si="1"/>
        <v>15</v>
      </c>
      <c r="B17" s="17" t="s">
        <v>29</v>
      </c>
      <c r="C17" s="10"/>
      <c r="D17" s="10">
        <f>C17+июль!D17</f>
        <v>0</v>
      </c>
      <c r="E17" s="11"/>
      <c r="F17" s="10">
        <f>E17+июль!F17</f>
        <v>0</v>
      </c>
      <c r="G17" s="10">
        <f t="shared" si="0"/>
        <v>0</v>
      </c>
      <c r="H17" s="11">
        <f t="shared" si="0"/>
        <v>0</v>
      </c>
      <c r="I17" s="11"/>
      <c r="J17" s="11">
        <f>I17+июль!J17</f>
        <v>0</v>
      </c>
      <c r="K17" s="10"/>
      <c r="L17" s="10">
        <f>K17+июль!L17</f>
        <v>0</v>
      </c>
    </row>
    <row r="18" spans="1:12" ht="12.75">
      <c r="A18" s="1">
        <f t="shared" si="1"/>
        <v>16</v>
      </c>
      <c r="B18" s="8" t="s">
        <v>31</v>
      </c>
      <c r="C18" s="10"/>
      <c r="D18" s="10">
        <f>C18+июль!D18</f>
        <v>0</v>
      </c>
      <c r="E18" s="11"/>
      <c r="F18" s="10">
        <f>E18+июль!F18</f>
        <v>0</v>
      </c>
      <c r="G18" s="10">
        <f t="shared" si="0"/>
        <v>0</v>
      </c>
      <c r="H18" s="11">
        <f t="shared" si="0"/>
        <v>0</v>
      </c>
      <c r="I18" s="11"/>
      <c r="J18" s="11">
        <f>I18+июль!J18</f>
        <v>17556.63</v>
      </c>
      <c r="K18" s="10"/>
      <c r="L18" s="10">
        <f>K18+июль!L18</f>
        <v>17556.63</v>
      </c>
    </row>
    <row r="19" spans="1:12" ht="12.75">
      <c r="A19" s="1">
        <f t="shared" si="1"/>
        <v>17</v>
      </c>
      <c r="B19" s="13" t="s">
        <v>32</v>
      </c>
      <c r="C19" s="10"/>
      <c r="D19" s="10">
        <f>C19+июль!D19</f>
        <v>0</v>
      </c>
      <c r="E19" s="11"/>
      <c r="F19" s="10">
        <f>E19+июль!F19</f>
        <v>0</v>
      </c>
      <c r="G19" s="10">
        <f t="shared" si="0"/>
        <v>0</v>
      </c>
      <c r="H19" s="11">
        <f t="shared" si="0"/>
        <v>0</v>
      </c>
      <c r="I19" s="11"/>
      <c r="J19" s="11">
        <f>I19+июль!J19</f>
        <v>3278.88</v>
      </c>
      <c r="K19" s="10"/>
      <c r="L19" s="10">
        <f>K19+июль!L19</f>
        <v>3278.88</v>
      </c>
    </row>
    <row r="20" spans="1:12" ht="12.75">
      <c r="A20" s="1">
        <f t="shared" si="1"/>
        <v>18</v>
      </c>
      <c r="B20" s="13" t="s">
        <v>33</v>
      </c>
      <c r="C20" s="10"/>
      <c r="D20" s="10">
        <f>C20+июль!D20</f>
        <v>0</v>
      </c>
      <c r="E20" s="11"/>
      <c r="F20" s="10">
        <f>E20+июль!F20</f>
        <v>0</v>
      </c>
      <c r="G20" s="10">
        <f t="shared" si="0"/>
        <v>0</v>
      </c>
      <c r="H20" s="11">
        <f t="shared" si="0"/>
        <v>0</v>
      </c>
      <c r="I20" s="11"/>
      <c r="J20" s="11">
        <f>I20+июль!J20</f>
        <v>17500</v>
      </c>
      <c r="K20" s="10"/>
      <c r="L20" s="10">
        <f>K20+июль!L20</f>
        <v>15000</v>
      </c>
    </row>
    <row r="21" spans="1:12" ht="12.75">
      <c r="A21" s="1">
        <f t="shared" si="1"/>
        <v>19</v>
      </c>
      <c r="B21" s="19" t="s">
        <v>34</v>
      </c>
      <c r="C21" s="10">
        <v>2262.34</v>
      </c>
      <c r="D21" s="10">
        <f>C21+июль!D21</f>
        <v>2262.34</v>
      </c>
      <c r="E21" s="11">
        <v>120.26</v>
      </c>
      <c r="F21" s="10">
        <f>E21+июль!F21</f>
        <v>120.26</v>
      </c>
      <c r="G21" s="10">
        <f t="shared" si="0"/>
        <v>-2142.08</v>
      </c>
      <c r="H21" s="11">
        <f t="shared" si="0"/>
        <v>-2142.08</v>
      </c>
      <c r="I21" s="11"/>
      <c r="J21" s="11">
        <f>I21+июль!J21</f>
        <v>0</v>
      </c>
      <c r="K21" s="10"/>
      <c r="L21" s="10">
        <f>K21+июль!L21</f>
        <v>0</v>
      </c>
    </row>
    <row r="22" spans="1:12" ht="12.75">
      <c r="A22" s="1">
        <f t="shared" si="1"/>
        <v>20</v>
      </c>
      <c r="B22" s="8"/>
      <c r="C22" s="10"/>
      <c r="D22" s="10">
        <f>C22+июль!D22</f>
        <v>0</v>
      </c>
      <c r="E22" s="11"/>
      <c r="F22" s="10">
        <f>E22+июль!F22</f>
        <v>0</v>
      </c>
      <c r="G22" s="10">
        <f t="shared" si="0"/>
        <v>0</v>
      </c>
      <c r="H22" s="11">
        <f t="shared" si="0"/>
        <v>0</v>
      </c>
      <c r="I22" s="11"/>
      <c r="J22" s="11">
        <f>I22+июль!J22</f>
        <v>0</v>
      </c>
      <c r="K22" s="10"/>
      <c r="L22" s="10">
        <f>K22+июль!L22</f>
        <v>0</v>
      </c>
    </row>
    <row r="23" spans="1:12" ht="12.75">
      <c r="A23" s="1"/>
      <c r="B23" s="8" t="s">
        <v>13</v>
      </c>
      <c r="C23" s="10">
        <f aca="true" t="shared" si="2" ref="C23:L23">SUM(C3:C22)</f>
        <v>511266.71</v>
      </c>
      <c r="D23" s="10">
        <f t="shared" si="2"/>
        <v>4647266.540000001</v>
      </c>
      <c r="E23" s="11">
        <f t="shared" si="2"/>
        <v>452811.26</v>
      </c>
      <c r="F23" s="10">
        <f t="shared" si="2"/>
        <v>3484499.4899999998</v>
      </c>
      <c r="G23" s="10">
        <f t="shared" si="2"/>
        <v>-58455.44999999999</v>
      </c>
      <c r="H23" s="11">
        <f t="shared" si="2"/>
        <v>-1162767.0500000003</v>
      </c>
      <c r="I23" s="11">
        <f t="shared" si="2"/>
        <v>0</v>
      </c>
      <c r="J23" s="11">
        <f t="shared" si="2"/>
        <v>1706629.9799999997</v>
      </c>
      <c r="K23" s="10">
        <f t="shared" si="2"/>
        <v>0</v>
      </c>
      <c r="L23" s="10">
        <f t="shared" si="2"/>
        <v>942892.5099999999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2012-04-11T06:47:59Z</cp:lastPrinted>
  <dcterms:created xsi:type="dcterms:W3CDTF">1996-10-08T23:32:33Z</dcterms:created>
  <dcterms:modified xsi:type="dcterms:W3CDTF">2012-04-11T06:58:16Z</dcterms:modified>
  <cp:category/>
  <cp:version/>
  <cp:contentType/>
  <cp:contentStatus/>
</cp:coreProperties>
</file>