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6795" firstSheet="2" activeTab="10"/>
  </bookViews>
  <sheets>
    <sheet name="Январь" sheetId="2" r:id="rId1"/>
    <sheet name="февраль" sheetId="3" r:id="rId2"/>
    <sheet name="март" sheetId="4" r:id="rId3"/>
    <sheet name="апрель" sheetId="5" r:id="rId4"/>
    <sheet name="май" sheetId="6" r:id="rId5"/>
    <sheet name="июнь" sheetId="7" r:id="rId6"/>
    <sheet name="июль" sheetId="8" r:id="rId7"/>
    <sheet name="август" sheetId="9" r:id="rId8"/>
    <sheet name="сентябрь" sheetId="11" r:id="rId9"/>
    <sheet name="октябрь" sheetId="10" r:id="rId10"/>
    <sheet name="ноябрь" sheetId="12" r:id="rId11"/>
    <sheet name="декабрь18" sheetId="13" r:id="rId12"/>
    <sheet name="Январь19" sheetId="14" r:id="rId13"/>
  </sheets>
  <calcPr calcId="125725" refMode="R1C1"/>
</workbook>
</file>

<file path=xl/calcChain.xml><?xml version="1.0" encoding="utf-8"?>
<calcChain xmlns="http://schemas.openxmlformats.org/spreadsheetml/2006/main">
  <c r="L4" i="1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3"/>
  <c r="J4"/>
  <c r="J5"/>
  <c r="M5" s="1"/>
  <c r="J6"/>
  <c r="J7"/>
  <c r="M7" s="1"/>
  <c r="J8"/>
  <c r="J9"/>
  <c r="M9" s="1"/>
  <c r="J10"/>
  <c r="J11"/>
  <c r="J12"/>
  <c r="J13"/>
  <c r="M13" s="1"/>
  <c r="J14"/>
  <c r="J15"/>
  <c r="M15" s="1"/>
  <c r="J16"/>
  <c r="J17"/>
  <c r="M17" s="1"/>
  <c r="J18"/>
  <c r="J19"/>
  <c r="M19" s="1"/>
  <c r="J20"/>
  <c r="J21"/>
  <c r="M21" s="1"/>
  <c r="J22"/>
  <c r="J23"/>
  <c r="M23" s="1"/>
  <c r="J24"/>
  <c r="J25"/>
  <c r="M25" s="1"/>
  <c r="J26"/>
  <c r="J27"/>
  <c r="M27" s="1"/>
  <c r="J3"/>
  <c r="F4"/>
  <c r="F5"/>
  <c r="F6"/>
  <c r="F7"/>
  <c r="F8"/>
  <c r="F9"/>
  <c r="F10"/>
  <c r="F11"/>
  <c r="F12"/>
  <c r="F15"/>
  <c r="F16"/>
  <c r="F17"/>
  <c r="F18"/>
  <c r="F19"/>
  <c r="F20"/>
  <c r="F21"/>
  <c r="F24"/>
  <c r="F25"/>
  <c r="F3"/>
  <c r="D4"/>
  <c r="D5"/>
  <c r="D6"/>
  <c r="D7"/>
  <c r="D8"/>
  <c r="D9"/>
  <c r="D10"/>
  <c r="D11"/>
  <c r="D12"/>
  <c r="D15"/>
  <c r="D16"/>
  <c r="D17"/>
  <c r="D18"/>
  <c r="D19"/>
  <c r="D20"/>
  <c r="D21"/>
  <c r="D24"/>
  <c r="D25"/>
  <c r="D3"/>
  <c r="E35" i="13"/>
  <c r="C35"/>
  <c r="E25"/>
  <c r="C25"/>
  <c r="E24"/>
  <c r="C24"/>
  <c r="E21"/>
  <c r="C21"/>
  <c r="E20"/>
  <c r="C20"/>
  <c r="E19"/>
  <c r="C19"/>
  <c r="E18"/>
  <c r="C18"/>
  <c r="E17"/>
  <c r="C17"/>
  <c r="E16"/>
  <c r="C16"/>
  <c r="E15"/>
  <c r="C15"/>
  <c r="E12"/>
  <c r="C12"/>
  <c r="E11"/>
  <c r="C11"/>
  <c r="E10"/>
  <c r="C10"/>
  <c r="E9"/>
  <c r="C9"/>
  <c r="E8"/>
  <c r="C8"/>
  <c r="E7"/>
  <c r="C7"/>
  <c r="E6"/>
  <c r="C6"/>
  <c r="E5"/>
  <c r="C5"/>
  <c r="E4"/>
  <c r="C4"/>
  <c r="E3"/>
  <c r="C3"/>
  <c r="K33" i="14"/>
  <c r="I33"/>
  <c r="E33"/>
  <c r="C33"/>
  <c r="K32"/>
  <c r="I32"/>
  <c r="E32"/>
  <c r="C32"/>
  <c r="K31"/>
  <c r="I31"/>
  <c r="E31"/>
  <c r="C31"/>
  <c r="K30"/>
  <c r="I30"/>
  <c r="E30"/>
  <c r="C30"/>
  <c r="K28"/>
  <c r="I28"/>
  <c r="E28"/>
  <c r="C28"/>
  <c r="G27"/>
  <c r="B27"/>
  <c r="M26"/>
  <c r="G26"/>
  <c r="B26"/>
  <c r="G25"/>
  <c r="H25"/>
  <c r="B25"/>
  <c r="M24"/>
  <c r="G24"/>
  <c r="H24"/>
  <c r="B24"/>
  <c r="G23"/>
  <c r="B23"/>
  <c r="M22"/>
  <c r="G22"/>
  <c r="B22"/>
  <c r="G21"/>
  <c r="H21"/>
  <c r="B21"/>
  <c r="M20"/>
  <c r="G20"/>
  <c r="H20"/>
  <c r="B20"/>
  <c r="G19"/>
  <c r="H19"/>
  <c r="B19"/>
  <c r="M18"/>
  <c r="G18"/>
  <c r="H18"/>
  <c r="B18"/>
  <c r="G17"/>
  <c r="H17"/>
  <c r="B17"/>
  <c r="M16"/>
  <c r="G16"/>
  <c r="H16"/>
  <c r="B16"/>
  <c r="G15"/>
  <c r="H15"/>
  <c r="B15"/>
  <c r="M14"/>
  <c r="G14"/>
  <c r="B14"/>
  <c r="G13"/>
  <c r="B13"/>
  <c r="L30"/>
  <c r="J30"/>
  <c r="G12"/>
  <c r="G30" s="1"/>
  <c r="H12"/>
  <c r="B12"/>
  <c r="L31"/>
  <c r="M11"/>
  <c r="G11"/>
  <c r="G31" s="1"/>
  <c r="F31"/>
  <c r="D31"/>
  <c r="B11"/>
  <c r="M10"/>
  <c r="G10"/>
  <c r="H10"/>
  <c r="B10"/>
  <c r="G9"/>
  <c r="H9"/>
  <c r="B9"/>
  <c r="M8"/>
  <c r="G8"/>
  <c r="H8"/>
  <c r="B8"/>
  <c r="G7"/>
  <c r="H7"/>
  <c r="B7"/>
  <c r="M6"/>
  <c r="G6"/>
  <c r="H6"/>
  <c r="B6"/>
  <c r="G5"/>
  <c r="H5"/>
  <c r="B5"/>
  <c r="L32"/>
  <c r="J32"/>
  <c r="G4"/>
  <c r="G32" s="1"/>
  <c r="H4"/>
  <c r="B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L28"/>
  <c r="G3"/>
  <c r="G33" s="1"/>
  <c r="B3"/>
  <c r="E36" i="12"/>
  <c r="C36"/>
  <c r="E25"/>
  <c r="C25"/>
  <c r="E24"/>
  <c r="C24"/>
  <c r="E21"/>
  <c r="C21"/>
  <c r="E20"/>
  <c r="C20"/>
  <c r="E19"/>
  <c r="C19"/>
  <c r="E18"/>
  <c r="C18"/>
  <c r="E17"/>
  <c r="C17"/>
  <c r="E16"/>
  <c r="C16"/>
  <c r="E15"/>
  <c r="C15"/>
  <c r="E12"/>
  <c r="C12"/>
  <c r="E11"/>
  <c r="C11"/>
  <c r="E10"/>
  <c r="C10"/>
  <c r="E9"/>
  <c r="C9"/>
  <c r="E8"/>
  <c r="C8"/>
  <c r="E7"/>
  <c r="C7"/>
  <c r="E5"/>
  <c r="C5"/>
  <c r="E4"/>
  <c r="C4"/>
  <c r="E3"/>
  <c r="C3"/>
  <c r="E6"/>
  <c r="C6"/>
  <c r="E37" i="10"/>
  <c r="C37"/>
  <c r="E25"/>
  <c r="C25"/>
  <c r="E24"/>
  <c r="C24"/>
  <c r="E19"/>
  <c r="C19"/>
  <c r="E21"/>
  <c r="C21"/>
  <c r="E20"/>
  <c r="C20"/>
  <c r="E18"/>
  <c r="C18"/>
  <c r="E17"/>
  <c r="C17"/>
  <c r="E16"/>
  <c r="C16"/>
  <c r="E15"/>
  <c r="C15"/>
  <c r="E14"/>
  <c r="E13"/>
  <c r="E12"/>
  <c r="C12"/>
  <c r="E11"/>
  <c r="C11"/>
  <c r="E10"/>
  <c r="C10"/>
  <c r="E9"/>
  <c r="C9"/>
  <c r="E8"/>
  <c r="C8"/>
  <c r="E7"/>
  <c r="C7"/>
  <c r="E6"/>
  <c r="C6"/>
  <c r="E5"/>
  <c r="C5"/>
  <c r="E4"/>
  <c r="C4"/>
  <c r="E3"/>
  <c r="C3"/>
  <c r="E37" i="11"/>
  <c r="C37"/>
  <c r="E25"/>
  <c r="C25"/>
  <c r="E24"/>
  <c r="C24"/>
  <c r="E21"/>
  <c r="C21"/>
  <c r="E20"/>
  <c r="C20"/>
  <c r="E19"/>
  <c r="C19"/>
  <c r="E18"/>
  <c r="C18"/>
  <c r="E17"/>
  <c r="C17"/>
  <c r="E16"/>
  <c r="C16"/>
  <c r="E15"/>
  <c r="C15"/>
  <c r="E14"/>
  <c r="E13"/>
  <c r="E12"/>
  <c r="C12"/>
  <c r="E11"/>
  <c r="C11"/>
  <c r="E10"/>
  <c r="C10"/>
  <c r="E9"/>
  <c r="C9"/>
  <c r="E8"/>
  <c r="C8"/>
  <c r="E7"/>
  <c r="C7"/>
  <c r="E6"/>
  <c r="C6"/>
  <c r="E5"/>
  <c r="C5"/>
  <c r="E4"/>
  <c r="E3"/>
  <c r="C3"/>
  <c r="C5" i="9"/>
  <c r="E36"/>
  <c r="C36"/>
  <c r="E25"/>
  <c r="C25"/>
  <c r="E24"/>
  <c r="C24"/>
  <c r="E21"/>
  <c r="C21"/>
  <c r="E20"/>
  <c r="C20"/>
  <c r="E19"/>
  <c r="C19"/>
  <c r="E18"/>
  <c r="C18"/>
  <c r="E17"/>
  <c r="C17"/>
  <c r="E16"/>
  <c r="C16"/>
  <c r="E15"/>
  <c r="C15"/>
  <c r="E12"/>
  <c r="C12"/>
  <c r="E11"/>
  <c r="C11"/>
  <c r="E10"/>
  <c r="C10"/>
  <c r="E9"/>
  <c r="C9"/>
  <c r="E8"/>
  <c r="C8"/>
  <c r="E7"/>
  <c r="C7"/>
  <c r="E6"/>
  <c r="C6"/>
  <c r="E5"/>
  <c r="E4"/>
  <c r="E3"/>
  <c r="C3"/>
  <c r="E36" i="8"/>
  <c r="C36"/>
  <c r="E25"/>
  <c r="C25"/>
  <c r="E22"/>
  <c r="C22"/>
  <c r="E21"/>
  <c r="C21"/>
  <c r="E20"/>
  <c r="C20"/>
  <c r="E19"/>
  <c r="C19"/>
  <c r="E18"/>
  <c r="C18"/>
  <c r="E17"/>
  <c r="C17"/>
  <c r="E16"/>
  <c r="C16"/>
  <c r="E15"/>
  <c r="C15"/>
  <c r="E12"/>
  <c r="C12"/>
  <c r="E11"/>
  <c r="C11"/>
  <c r="E10"/>
  <c r="C10"/>
  <c r="E9"/>
  <c r="C9"/>
  <c r="E8"/>
  <c r="C8"/>
  <c r="E7"/>
  <c r="C7"/>
  <c r="E6"/>
  <c r="C6"/>
  <c r="E5"/>
  <c r="C5"/>
  <c r="E4"/>
  <c r="E3"/>
  <c r="C3"/>
  <c r="C21" i="7"/>
  <c r="E36"/>
  <c r="C36"/>
  <c r="E25"/>
  <c r="C25"/>
  <c r="E24"/>
  <c r="C24"/>
  <c r="E21"/>
  <c r="E20"/>
  <c r="C20"/>
  <c r="E19"/>
  <c r="C19"/>
  <c r="E18"/>
  <c r="C18"/>
  <c r="E17"/>
  <c r="C17"/>
  <c r="E16"/>
  <c r="C16"/>
  <c r="E15"/>
  <c r="C15"/>
  <c r="E14"/>
  <c r="E13"/>
  <c r="E12"/>
  <c r="C12"/>
  <c r="E11"/>
  <c r="C11"/>
  <c r="E10"/>
  <c r="C10"/>
  <c r="E9"/>
  <c r="C9"/>
  <c r="E8"/>
  <c r="C8"/>
  <c r="E7"/>
  <c r="C7"/>
  <c r="E6"/>
  <c r="C6"/>
  <c r="E5"/>
  <c r="C5"/>
  <c r="E4"/>
  <c r="E3"/>
  <c r="C3"/>
  <c r="C11" i="6"/>
  <c r="E35"/>
  <c r="C35"/>
  <c r="E25"/>
  <c r="C25"/>
  <c r="E24"/>
  <c r="C24"/>
  <c r="E21"/>
  <c r="C21"/>
  <c r="E20"/>
  <c r="C20"/>
  <c r="E19"/>
  <c r="C19"/>
  <c r="E18"/>
  <c r="C18"/>
  <c r="E17"/>
  <c r="C17"/>
  <c r="E16"/>
  <c r="C16"/>
  <c r="E15"/>
  <c r="C15"/>
  <c r="E12"/>
  <c r="C12"/>
  <c r="E11"/>
  <c r="E10"/>
  <c r="C10"/>
  <c r="E9"/>
  <c r="C9"/>
  <c r="E8"/>
  <c r="C8"/>
  <c r="E7"/>
  <c r="C7"/>
  <c r="E6"/>
  <c r="C6"/>
  <c r="E5"/>
  <c r="C5"/>
  <c r="E4"/>
  <c r="C4"/>
  <c r="E3"/>
  <c r="C3"/>
  <c r="C13" i="5"/>
  <c r="E37"/>
  <c r="C37"/>
  <c r="E27"/>
  <c r="C27"/>
  <c r="E26"/>
  <c r="C26"/>
  <c r="E23"/>
  <c r="C23"/>
  <c r="E22"/>
  <c r="C22"/>
  <c r="E21"/>
  <c r="C21"/>
  <c r="E20"/>
  <c r="C20"/>
  <c r="E19"/>
  <c r="C19"/>
  <c r="E18"/>
  <c r="C18"/>
  <c r="E17"/>
  <c r="C17"/>
  <c r="E14"/>
  <c r="C14"/>
  <c r="E13"/>
  <c r="E12"/>
  <c r="C12"/>
  <c r="E11"/>
  <c r="C11"/>
  <c r="E10"/>
  <c r="C10"/>
  <c r="E9"/>
  <c r="C9"/>
  <c r="E8"/>
  <c r="C8"/>
  <c r="E7"/>
  <c r="C7"/>
  <c r="E6"/>
  <c r="C6"/>
  <c r="E5"/>
  <c r="C5"/>
  <c r="E5" i="4"/>
  <c r="E20"/>
  <c r="E36"/>
  <c r="C36"/>
  <c r="E18"/>
  <c r="C18"/>
  <c r="E25"/>
  <c r="C25"/>
  <c r="E24"/>
  <c r="C24"/>
  <c r="E21"/>
  <c r="C21"/>
  <c r="C20"/>
  <c r="E19"/>
  <c r="C19"/>
  <c r="E16"/>
  <c r="C16"/>
  <c r="E15"/>
  <c r="C15"/>
  <c r="E17"/>
  <c r="C17"/>
  <c r="E12"/>
  <c r="C12"/>
  <c r="E10"/>
  <c r="C10"/>
  <c r="E11"/>
  <c r="C11"/>
  <c r="E9"/>
  <c r="C9"/>
  <c r="E8"/>
  <c r="C8"/>
  <c r="E7"/>
  <c r="C7"/>
  <c r="E6"/>
  <c r="C6"/>
  <c r="C5"/>
  <c r="E4"/>
  <c r="C4"/>
  <c r="E3"/>
  <c r="C3"/>
  <c r="C24" i="3"/>
  <c r="E36"/>
  <c r="C36"/>
  <c r="E18"/>
  <c r="C18"/>
  <c r="E25"/>
  <c r="C25"/>
  <c r="E24"/>
  <c r="E21"/>
  <c r="C21"/>
  <c r="E20"/>
  <c r="C20"/>
  <c r="E19"/>
  <c r="C19"/>
  <c r="E16"/>
  <c r="C16"/>
  <c r="E15"/>
  <c r="C15"/>
  <c r="E17"/>
  <c r="C17"/>
  <c r="E12"/>
  <c r="C12"/>
  <c r="E10"/>
  <c r="C10"/>
  <c r="E11"/>
  <c r="C11"/>
  <c r="E9"/>
  <c r="C9"/>
  <c r="E8"/>
  <c r="C8"/>
  <c r="E7"/>
  <c r="C7"/>
  <c r="E6"/>
  <c r="C6"/>
  <c r="E5"/>
  <c r="C5"/>
  <c r="E4"/>
  <c r="C4"/>
  <c r="E3"/>
  <c r="C3"/>
  <c r="E36" i="2"/>
  <c r="C36"/>
  <c r="E18"/>
  <c r="C18"/>
  <c r="E25"/>
  <c r="C25"/>
  <c r="E24"/>
  <c r="C24"/>
  <c r="E21"/>
  <c r="C21"/>
  <c r="E20"/>
  <c r="C20"/>
  <c r="E19"/>
  <c r="C19"/>
  <c r="E16"/>
  <c r="C16"/>
  <c r="E15"/>
  <c r="C15"/>
  <c r="E17"/>
  <c r="C17"/>
  <c r="E12"/>
  <c r="C12"/>
  <c r="E10"/>
  <c r="C10"/>
  <c r="E11"/>
  <c r="C11"/>
  <c r="E9"/>
  <c r="C9"/>
  <c r="E8"/>
  <c r="C8"/>
  <c r="E7"/>
  <c r="C7"/>
  <c r="E6"/>
  <c r="C6"/>
  <c r="E5"/>
  <c r="C5"/>
  <c r="E4"/>
  <c r="C4"/>
  <c r="E3"/>
  <c r="C3"/>
  <c r="I29" i="10"/>
  <c r="K29"/>
  <c r="G28"/>
  <c r="E29"/>
  <c r="C29"/>
  <c r="J28" i="14" l="1"/>
  <c r="H3"/>
  <c r="M4"/>
  <c r="H11"/>
  <c r="H31" s="1"/>
  <c r="M12"/>
  <c r="G28"/>
  <c r="J31"/>
  <c r="D33"/>
  <c r="F33"/>
  <c r="J33"/>
  <c r="L33"/>
  <c r="M3"/>
  <c r="C28" i="7"/>
  <c r="C38" s="1"/>
  <c r="K33" i="12"/>
  <c r="I33"/>
  <c r="E33"/>
  <c r="C33"/>
  <c r="K32"/>
  <c r="I32"/>
  <c r="E32"/>
  <c r="C32"/>
  <c r="K31"/>
  <c r="I31"/>
  <c r="E31"/>
  <c r="C31"/>
  <c r="K34" i="10"/>
  <c r="I34"/>
  <c r="E34"/>
  <c r="C34"/>
  <c r="K33"/>
  <c r="I33"/>
  <c r="E33"/>
  <c r="C33"/>
  <c r="K32"/>
  <c r="I32"/>
  <c r="E32"/>
  <c r="C32"/>
  <c r="E29" i="11"/>
  <c r="I29"/>
  <c r="K29"/>
  <c r="C29"/>
  <c r="E34"/>
  <c r="C34"/>
  <c r="G28"/>
  <c r="E29" i="9"/>
  <c r="E38" s="1"/>
  <c r="I29"/>
  <c r="K29"/>
  <c r="C29"/>
  <c r="C38" s="1"/>
  <c r="J28"/>
  <c r="J28" i="11" s="1"/>
  <c r="L28" i="9"/>
  <c r="L28" i="11" s="1"/>
  <c r="L28" i="10" s="1"/>
  <c r="M28" i="9"/>
  <c r="G28"/>
  <c r="F28"/>
  <c r="F28" i="11" s="1"/>
  <c r="F28" i="10" s="1"/>
  <c r="D28" i="9"/>
  <c r="D28" i="11" s="1"/>
  <c r="D28" i="10" s="1"/>
  <c r="H28" s="1"/>
  <c r="B28" i="9"/>
  <c r="B28" i="11" s="1"/>
  <c r="I29" i="8"/>
  <c r="K29"/>
  <c r="E29"/>
  <c r="C29"/>
  <c r="K33" i="11"/>
  <c r="I33"/>
  <c r="E33"/>
  <c r="C33"/>
  <c r="K32"/>
  <c r="I32"/>
  <c r="E32"/>
  <c r="C32"/>
  <c r="K31"/>
  <c r="I31"/>
  <c r="E31"/>
  <c r="C31"/>
  <c r="K33" i="9"/>
  <c r="I33"/>
  <c r="E33"/>
  <c r="C33"/>
  <c r="K32"/>
  <c r="I32"/>
  <c r="E32"/>
  <c r="C32"/>
  <c r="K31"/>
  <c r="I31"/>
  <c r="E31"/>
  <c r="C31"/>
  <c r="K33" i="8"/>
  <c r="I33"/>
  <c r="E33"/>
  <c r="C33"/>
  <c r="K32"/>
  <c r="I32"/>
  <c r="E32"/>
  <c r="C32"/>
  <c r="K31"/>
  <c r="I31"/>
  <c r="E31"/>
  <c r="C31"/>
  <c r="I33" i="7"/>
  <c r="K33"/>
  <c r="K32"/>
  <c r="I32"/>
  <c r="E32"/>
  <c r="C32"/>
  <c r="K31"/>
  <c r="I31"/>
  <c r="E31"/>
  <c r="C31"/>
  <c r="K30"/>
  <c r="I30"/>
  <c r="E30"/>
  <c r="C30"/>
  <c r="K35" i="5"/>
  <c r="I35"/>
  <c r="E35"/>
  <c r="C35"/>
  <c r="K34"/>
  <c r="I34"/>
  <c r="E34"/>
  <c r="C34"/>
  <c r="K33"/>
  <c r="I33"/>
  <c r="E33"/>
  <c r="C33"/>
  <c r="K32"/>
  <c r="I32"/>
  <c r="E32"/>
  <c r="C32"/>
  <c r="K33" i="6"/>
  <c r="I33"/>
  <c r="E33"/>
  <c r="C33"/>
  <c r="K32"/>
  <c r="I32"/>
  <c r="E32"/>
  <c r="C32"/>
  <c r="K31"/>
  <c r="I31"/>
  <c r="E31"/>
  <c r="C31"/>
  <c r="K30"/>
  <c r="I30"/>
  <c r="E30"/>
  <c r="C30"/>
  <c r="K33" i="4"/>
  <c r="I33"/>
  <c r="E33"/>
  <c r="C33"/>
  <c r="K32"/>
  <c r="I32"/>
  <c r="E32"/>
  <c r="C32"/>
  <c r="K31"/>
  <c r="I31"/>
  <c r="E31"/>
  <c r="C31"/>
  <c r="K30"/>
  <c r="I30"/>
  <c r="E30"/>
  <c r="C30"/>
  <c r="K33" i="3"/>
  <c r="I33"/>
  <c r="E33"/>
  <c r="C33"/>
  <c r="K32"/>
  <c r="I32"/>
  <c r="E32"/>
  <c r="C32"/>
  <c r="K31"/>
  <c r="I31"/>
  <c r="E31"/>
  <c r="C31"/>
  <c r="K30"/>
  <c r="I30"/>
  <c r="E30"/>
  <c r="C30"/>
  <c r="L33" i="2"/>
  <c r="K33"/>
  <c r="J33"/>
  <c r="I33"/>
  <c r="E33"/>
  <c r="C33"/>
  <c r="L32"/>
  <c r="K32"/>
  <c r="J32"/>
  <c r="I32"/>
  <c r="E32"/>
  <c r="C32"/>
  <c r="L31"/>
  <c r="K31"/>
  <c r="J31"/>
  <c r="I31"/>
  <c r="E31"/>
  <c r="C31"/>
  <c r="L30"/>
  <c r="K30"/>
  <c r="J30"/>
  <c r="I30"/>
  <c r="E30"/>
  <c r="C30"/>
  <c r="K31" i="13"/>
  <c r="I31"/>
  <c r="E31"/>
  <c r="C31"/>
  <c r="K33"/>
  <c r="K32"/>
  <c r="K30"/>
  <c r="I33"/>
  <c r="I32"/>
  <c r="E32"/>
  <c r="C32"/>
  <c r="I30"/>
  <c r="E30"/>
  <c r="C30"/>
  <c r="E33"/>
  <c r="C33"/>
  <c r="M28" i="14" l="1"/>
  <c r="H33"/>
  <c r="J28" i="10"/>
  <c r="M28" s="1"/>
  <c r="M28" i="11"/>
  <c r="H28"/>
  <c r="H28" i="9"/>
  <c r="E33" i="7"/>
  <c r="C33"/>
  <c r="J26" i="2"/>
  <c r="J26" i="3"/>
  <c r="J26" i="4"/>
  <c r="J28" i="5"/>
  <c r="J26" i="6"/>
  <c r="J26" i="7"/>
  <c r="J26" i="8"/>
  <c r="J26" i="9"/>
  <c r="J26" i="11"/>
  <c r="J26" i="10"/>
  <c r="J26" i="12"/>
  <c r="J26" i="13"/>
  <c r="L26" i="2"/>
  <c r="L26" i="3"/>
  <c r="L26" i="4"/>
  <c r="L28" i="5"/>
  <c r="L26" i="6"/>
  <c r="L26" i="7"/>
  <c r="L26" i="8"/>
  <c r="L26" i="9"/>
  <c r="L26" i="11"/>
  <c r="L26" i="10"/>
  <c r="L26" i="12"/>
  <c r="L26" i="13"/>
  <c r="M26"/>
  <c r="D4" i="2"/>
  <c r="D4" i="3"/>
  <c r="D4" i="4"/>
  <c r="D6" i="5" s="1"/>
  <c r="D4" i="6" s="1"/>
  <c r="D5" i="2"/>
  <c r="D5" i="3"/>
  <c r="D5" i="4"/>
  <c r="D7" i="5" s="1"/>
  <c r="D5" i="6" s="1"/>
  <c r="D6" i="2"/>
  <c r="D6" i="3"/>
  <c r="D6" i="4"/>
  <c r="D8" i="5" s="1"/>
  <c r="D6" i="6" s="1"/>
  <c r="D7" i="2"/>
  <c r="D7" i="3"/>
  <c r="D7" i="4"/>
  <c r="D9" i="5" s="1"/>
  <c r="D7" i="6" s="1"/>
  <c r="D8" i="2"/>
  <c r="D8" i="3"/>
  <c r="D8" i="4"/>
  <c r="D10" i="5" s="1"/>
  <c r="D8" i="6" s="1"/>
  <c r="D9" i="2"/>
  <c r="D9" i="3"/>
  <c r="D9" i="4"/>
  <c r="D11" i="5" s="1"/>
  <c r="D9" i="6" s="1"/>
  <c r="D10" i="2"/>
  <c r="D10" i="3"/>
  <c r="D10" i="4"/>
  <c r="D12" i="5" s="1"/>
  <c r="D10" i="6" s="1"/>
  <c r="D11" i="2"/>
  <c r="D11" i="3"/>
  <c r="D11" i="4"/>
  <c r="D13" i="5" s="1"/>
  <c r="D11" i="6" s="1"/>
  <c r="D12" i="2"/>
  <c r="D12" i="3"/>
  <c r="D12" i="4"/>
  <c r="D14" i="5" s="1"/>
  <c r="D12" i="6" s="1"/>
  <c r="D13" i="2"/>
  <c r="D13" i="3"/>
  <c r="D13" i="4" s="1"/>
  <c r="D14" i="2"/>
  <c r="D14" i="3"/>
  <c r="D14" i="4" s="1"/>
  <c r="D15" i="2"/>
  <c r="D15" i="3"/>
  <c r="D15" i="4"/>
  <c r="D17" i="5" s="1"/>
  <c r="D15" i="6" s="1"/>
  <c r="D15" i="7" s="1"/>
  <c r="D15" i="8" s="1"/>
  <c r="D15" i="9" s="1"/>
  <c r="D15" i="11" s="1"/>
  <c r="D15" i="10" s="1"/>
  <c r="D15" i="12" s="1"/>
  <c r="D15" i="13" s="1"/>
  <c r="D16" i="2"/>
  <c r="D16" i="3"/>
  <c r="D16" i="4"/>
  <c r="D18" i="5" s="1"/>
  <c r="D16" i="6" s="1"/>
  <c r="D17" i="2"/>
  <c r="D17" i="3"/>
  <c r="D17" i="4"/>
  <c r="D19" i="5" s="1"/>
  <c r="D17" i="6" s="1"/>
  <c r="D18" i="2"/>
  <c r="D18" i="3"/>
  <c r="D18" i="4"/>
  <c r="D20" i="5" s="1"/>
  <c r="D18" i="6"/>
  <c r="D18" i="7" s="1"/>
  <c r="D19" i="2"/>
  <c r="D19" i="3"/>
  <c r="D19" i="4"/>
  <c r="D21" i="5" s="1"/>
  <c r="D19" i="6" s="1"/>
  <c r="D20" i="2"/>
  <c r="D20" i="3"/>
  <c r="D20" i="4"/>
  <c r="D22" i="5" s="1"/>
  <c r="D20" i="6" s="1"/>
  <c r="D21" i="2"/>
  <c r="D21" i="3"/>
  <c r="D21" i="4"/>
  <c r="D23" i="5" s="1"/>
  <c r="D21" i="6" s="1"/>
  <c r="D22" i="2"/>
  <c r="D22" i="3"/>
  <c r="D22" i="4" s="1"/>
  <c r="D23" i="2"/>
  <c r="D23" i="3" s="1"/>
  <c r="D24" i="2"/>
  <c r="D24" i="3"/>
  <c r="D24" i="4"/>
  <c r="D26" i="5" s="1"/>
  <c r="D24" i="6" s="1"/>
  <c r="D25" i="2"/>
  <c r="D25" i="3"/>
  <c r="D25" i="4"/>
  <c r="D27" i="5" s="1"/>
  <c r="D25" i="6" s="1"/>
  <c r="D26" i="2"/>
  <c r="D26" i="3" s="1"/>
  <c r="F4" i="2"/>
  <c r="F4" i="3"/>
  <c r="F4" i="4"/>
  <c r="F6" i="5"/>
  <c r="F4" i="6" s="1"/>
  <c r="F4" i="7" s="1"/>
  <c r="F4" i="8" s="1"/>
  <c r="F4" i="9" s="1"/>
  <c r="F4" i="11" s="1"/>
  <c r="F4" i="10" s="1"/>
  <c r="F4" i="12" s="1"/>
  <c r="F4" i="13" s="1"/>
  <c r="F5" i="2"/>
  <c r="F5" i="3"/>
  <c r="F5" i="4"/>
  <c r="F7" i="5"/>
  <c r="F5" i="6" s="1"/>
  <c r="F5" i="7" s="1"/>
  <c r="F5" i="8" s="1"/>
  <c r="F5" i="9" s="1"/>
  <c r="F5" i="11" s="1"/>
  <c r="F5" i="10" s="1"/>
  <c r="F5" i="12" s="1"/>
  <c r="F5" i="13" s="1"/>
  <c r="F6" i="2"/>
  <c r="F6" i="3"/>
  <c r="F6" i="4"/>
  <c r="F8" i="5"/>
  <c r="F6" i="6" s="1"/>
  <c r="F6" i="7" s="1"/>
  <c r="F6" i="8" s="1"/>
  <c r="F6" i="9" s="1"/>
  <c r="F6" i="11" s="1"/>
  <c r="F6" i="10" s="1"/>
  <c r="F6" i="12" s="1"/>
  <c r="F6" i="13" s="1"/>
  <c r="F7" i="2"/>
  <c r="F7" i="3"/>
  <c r="F7" i="4"/>
  <c r="F9" i="5"/>
  <c r="F7" i="6" s="1"/>
  <c r="F7" i="7" s="1"/>
  <c r="F7" i="8" s="1"/>
  <c r="F7" i="9" s="1"/>
  <c r="F7" i="11" s="1"/>
  <c r="F7" i="10" s="1"/>
  <c r="F7" i="12" s="1"/>
  <c r="F7" i="13" s="1"/>
  <c r="F8" i="2"/>
  <c r="F8" i="3"/>
  <c r="F8" i="4"/>
  <c r="F10" i="5"/>
  <c r="F8" i="6" s="1"/>
  <c r="F8" i="7" s="1"/>
  <c r="F8" i="8" s="1"/>
  <c r="F8" i="9" s="1"/>
  <c r="F8" i="11" s="1"/>
  <c r="F8" i="10" s="1"/>
  <c r="F8" i="12" s="1"/>
  <c r="F8" i="13" s="1"/>
  <c r="F9" i="2"/>
  <c r="F9" i="3"/>
  <c r="F9" i="4"/>
  <c r="F11" i="5"/>
  <c r="F9" i="6" s="1"/>
  <c r="F9" i="7" s="1"/>
  <c r="F9" i="8" s="1"/>
  <c r="F9" i="9" s="1"/>
  <c r="F9" i="11" s="1"/>
  <c r="F9" i="10" s="1"/>
  <c r="F9" i="12" s="1"/>
  <c r="F9" i="13" s="1"/>
  <c r="F10" i="2"/>
  <c r="F10" i="3"/>
  <c r="F10" i="4"/>
  <c r="F12" i="5"/>
  <c r="F10" i="6" s="1"/>
  <c r="F10" i="7" s="1"/>
  <c r="F10" i="8" s="1"/>
  <c r="F10" i="9" s="1"/>
  <c r="F10" i="11" s="1"/>
  <c r="F10" i="10" s="1"/>
  <c r="F10" i="12" s="1"/>
  <c r="F10" i="13" s="1"/>
  <c r="F11" i="2"/>
  <c r="F11" i="3"/>
  <c r="F11" i="4"/>
  <c r="F13" i="5"/>
  <c r="F11" i="6" s="1"/>
  <c r="F11" i="7" s="1"/>
  <c r="F11" i="8" s="1"/>
  <c r="F11" i="9" s="1"/>
  <c r="F11" i="11" s="1"/>
  <c r="F11" i="10" s="1"/>
  <c r="F11" i="12" s="1"/>
  <c r="F11" i="13" s="1"/>
  <c r="F12" i="2"/>
  <c r="F12" i="3"/>
  <c r="F12" i="4"/>
  <c r="F14" i="5"/>
  <c r="F12" i="6" s="1"/>
  <c r="F12" i="7" s="1"/>
  <c r="F12" i="8" s="1"/>
  <c r="F12" i="9" s="1"/>
  <c r="F12" i="11" s="1"/>
  <c r="F12" i="10" s="1"/>
  <c r="F12" i="12" s="1"/>
  <c r="F12" i="13" s="1"/>
  <c r="F13" i="2"/>
  <c r="F13" i="3"/>
  <c r="F13" i="4" s="1"/>
  <c r="F14" i="2"/>
  <c r="F14" i="3"/>
  <c r="F14" i="4" s="1"/>
  <c r="F16" i="5" s="1"/>
  <c r="F14" i="6" s="1"/>
  <c r="F14" i="7" s="1"/>
  <c r="F14" i="8" s="1"/>
  <c r="F14" i="9" s="1"/>
  <c r="F14" i="11" s="1"/>
  <c r="F14" i="10" s="1"/>
  <c r="F14" i="12" s="1"/>
  <c r="F14" i="13" s="1"/>
  <c r="F14" i="14" s="1"/>
  <c r="F15" i="2"/>
  <c r="F15" i="3"/>
  <c r="F15" i="4"/>
  <c r="F17" i="5"/>
  <c r="F15" i="6" s="1"/>
  <c r="F16" i="2"/>
  <c r="F16" i="3"/>
  <c r="F16" i="4"/>
  <c r="F18" i="5"/>
  <c r="F16" i="6" s="1"/>
  <c r="F16" i="7" s="1"/>
  <c r="F16" i="8" s="1"/>
  <c r="F16" i="9" s="1"/>
  <c r="F16" i="11" s="1"/>
  <c r="F16" i="10" s="1"/>
  <c r="F16" i="12" s="1"/>
  <c r="F16" i="13" s="1"/>
  <c r="F17" i="2"/>
  <c r="F17" i="3"/>
  <c r="F17" i="4"/>
  <c r="F19" i="5"/>
  <c r="F17" i="6" s="1"/>
  <c r="F17" i="7" s="1"/>
  <c r="F17" i="8" s="1"/>
  <c r="F17" i="9" s="1"/>
  <c r="F17" i="11" s="1"/>
  <c r="F17" i="10" s="1"/>
  <c r="F17" i="12" s="1"/>
  <c r="F17" i="13" s="1"/>
  <c r="F18" i="2"/>
  <c r="F18" i="3"/>
  <c r="F18" i="4"/>
  <c r="F20" i="5"/>
  <c r="F18" i="6" s="1"/>
  <c r="F18" i="7" s="1"/>
  <c r="F18" i="8" s="1"/>
  <c r="F18" i="9" s="1"/>
  <c r="F18" i="11" s="1"/>
  <c r="F18" i="10" s="1"/>
  <c r="F18" i="12" s="1"/>
  <c r="F18" i="13" s="1"/>
  <c r="F19" i="2"/>
  <c r="F19" i="3"/>
  <c r="F19" i="4"/>
  <c r="F21" i="5"/>
  <c r="F19" i="6" s="1"/>
  <c r="F19" i="7" s="1"/>
  <c r="F19" i="8" s="1"/>
  <c r="F19" i="9" s="1"/>
  <c r="F19" i="11" s="1"/>
  <c r="F19" i="10" s="1"/>
  <c r="F19" i="12" s="1"/>
  <c r="F19" i="13" s="1"/>
  <c r="F20" i="2"/>
  <c r="F20" i="3"/>
  <c r="F20" i="4"/>
  <c r="F22" i="5"/>
  <c r="F20" i="6" s="1"/>
  <c r="F20" i="7" s="1"/>
  <c r="F20" i="8" s="1"/>
  <c r="F20" i="9" s="1"/>
  <c r="F20" i="11" s="1"/>
  <c r="F20" i="10" s="1"/>
  <c r="F20" i="12" s="1"/>
  <c r="F20" i="13" s="1"/>
  <c r="F21" i="2"/>
  <c r="F21" i="3"/>
  <c r="F21" i="4"/>
  <c r="F23" i="5"/>
  <c r="F21" i="6"/>
  <c r="F21" i="7" s="1"/>
  <c r="F21" i="8" s="1"/>
  <c r="F21" i="9" s="1"/>
  <c r="F21" i="11" s="1"/>
  <c r="F21" i="10" s="1"/>
  <c r="F21" i="12" s="1"/>
  <c r="F21" i="13" s="1"/>
  <c r="F22" i="2"/>
  <c r="F22" i="3"/>
  <c r="F22" i="4"/>
  <c r="F24" i="5" s="1"/>
  <c r="F22" i="6" s="1"/>
  <c r="F22" i="7" s="1"/>
  <c r="F22" i="8" s="1"/>
  <c r="F22" i="9" s="1"/>
  <c r="F22" i="11" s="1"/>
  <c r="F22" i="10" s="1"/>
  <c r="F22" i="12" s="1"/>
  <c r="F22" i="13" s="1"/>
  <c r="F22" i="14" s="1"/>
  <c r="F23" i="2"/>
  <c r="F23" i="3"/>
  <c r="F23" i="4"/>
  <c r="F25" i="5" s="1"/>
  <c r="F23" i="6" s="1"/>
  <c r="F23" i="7" s="1"/>
  <c r="F23" i="8" s="1"/>
  <c r="F23" i="9" s="1"/>
  <c r="F23" i="11" s="1"/>
  <c r="F23" i="10" s="1"/>
  <c r="F23" i="12" s="1"/>
  <c r="F23" i="13" s="1"/>
  <c r="F23" i="14" s="1"/>
  <c r="F24" i="2"/>
  <c r="F24" i="3"/>
  <c r="F24" i="4"/>
  <c r="F26" i="5"/>
  <c r="F24" i="6"/>
  <c r="F24" i="7" s="1"/>
  <c r="F24" i="8" s="1"/>
  <c r="F24" i="9" s="1"/>
  <c r="F24" i="11" s="1"/>
  <c r="F24" i="10" s="1"/>
  <c r="F24" i="12" s="1"/>
  <c r="F24" i="13" s="1"/>
  <c r="F25" i="2"/>
  <c r="F25" i="3"/>
  <c r="F25" i="4"/>
  <c r="F27" i="5"/>
  <c r="F25" i="6" s="1"/>
  <c r="F25" i="7" s="1"/>
  <c r="F25" i="8" s="1"/>
  <c r="F25" i="9" s="1"/>
  <c r="F25" i="11" s="1"/>
  <c r="F25" i="10" s="1"/>
  <c r="F25" i="12" s="1"/>
  <c r="F25" i="13" s="1"/>
  <c r="F26" i="2"/>
  <c r="F26" i="3" s="1"/>
  <c r="G4" i="13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M26" i="10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M26" i="1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M26" i="9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M26" i="3"/>
  <c r="H19"/>
  <c r="H20"/>
  <c r="H21"/>
  <c r="H22"/>
  <c r="H24"/>
  <c r="H25"/>
  <c r="G19"/>
  <c r="G20"/>
  <c r="G21"/>
  <c r="G22"/>
  <c r="G23"/>
  <c r="G24"/>
  <c r="G25"/>
  <c r="G26"/>
  <c r="G27"/>
  <c r="M26" i="12"/>
  <c r="G23"/>
  <c r="G24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D3" i="2"/>
  <c r="D33" s="1"/>
  <c r="D3" i="3"/>
  <c r="D33" s="1"/>
  <c r="D3" i="4"/>
  <c r="F3" i="2"/>
  <c r="F33" s="1"/>
  <c r="F3" i="3"/>
  <c r="F33" s="1"/>
  <c r="F3" i="4"/>
  <c r="F33" s="1"/>
  <c r="F5" i="5"/>
  <c r="F35" s="1"/>
  <c r="A4" i="1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M26" i="8"/>
  <c r="B4" i="3"/>
  <c r="B4" i="4"/>
  <c r="B6" i="5"/>
  <c r="B4" i="6"/>
  <c r="B4" i="7"/>
  <c r="B4" i="8"/>
  <c r="B4" i="9"/>
  <c r="B4" i="11"/>
  <c r="B4" i="10"/>
  <c r="B4" i="12"/>
  <c r="B4" i="13"/>
  <c r="B5" i="3"/>
  <c r="B5" i="4"/>
  <c r="B7" i="5"/>
  <c r="B5" i="6"/>
  <c r="B5" i="7"/>
  <c r="B5" i="8"/>
  <c r="B5" i="9"/>
  <c r="B5" i="11"/>
  <c r="B5" i="10"/>
  <c r="B5" i="12"/>
  <c r="B5" i="13"/>
  <c r="B6" i="3"/>
  <c r="B6" i="4"/>
  <c r="B8" i="5"/>
  <c r="B6" i="6"/>
  <c r="B6" i="7"/>
  <c r="B6" i="8"/>
  <c r="B6" i="9"/>
  <c r="B6" i="11"/>
  <c r="B6" i="10"/>
  <c r="B6" i="12"/>
  <c r="B6" i="13"/>
  <c r="B7" i="3"/>
  <c r="B7" i="4"/>
  <c r="B9" i="5"/>
  <c r="B7" i="6"/>
  <c r="B7" i="7"/>
  <c r="B7" i="8"/>
  <c r="B7" i="9"/>
  <c r="B7" i="11"/>
  <c r="B7" i="10"/>
  <c r="B7" i="12"/>
  <c r="B7" i="13"/>
  <c r="B8" i="3"/>
  <c r="B8" i="4"/>
  <c r="B10" i="5"/>
  <c r="B8" i="6"/>
  <c r="B8" i="7"/>
  <c r="B8" i="8"/>
  <c r="B8" i="9"/>
  <c r="B8" i="11"/>
  <c r="B8" i="10"/>
  <c r="B8" i="12"/>
  <c r="B8" i="13"/>
  <c r="B9" i="3"/>
  <c r="B9" i="4"/>
  <c r="B11" i="5"/>
  <c r="B9" i="6"/>
  <c r="B9" i="7"/>
  <c r="B9" i="8"/>
  <c r="B9" i="9"/>
  <c r="B9" i="11"/>
  <c r="B9" i="10"/>
  <c r="B9" i="12"/>
  <c r="B9" i="13"/>
  <c r="B10" i="3"/>
  <c r="B10" i="4"/>
  <c r="B12" i="5"/>
  <c r="B10" i="6"/>
  <c r="B10" i="7"/>
  <c r="B10" i="8"/>
  <c r="B10" i="9"/>
  <c r="B10" i="11"/>
  <c r="B10" i="10"/>
  <c r="B10" i="12"/>
  <c r="B10" i="13"/>
  <c r="B11" i="3"/>
  <c r="B11" i="4"/>
  <c r="B13" i="5"/>
  <c r="B11" i="6"/>
  <c r="B11" i="7"/>
  <c r="B11" i="8"/>
  <c r="B11" i="9"/>
  <c r="B11" i="11"/>
  <c r="B11" i="10"/>
  <c r="B11" i="12"/>
  <c r="B11" i="13"/>
  <c r="B12" i="3"/>
  <c r="B12" i="4"/>
  <c r="B14" i="5"/>
  <c r="B12" i="6"/>
  <c r="B12" i="7"/>
  <c r="B12" i="8"/>
  <c r="B12" i="9"/>
  <c r="B12" i="11"/>
  <c r="B12" i="10"/>
  <c r="B12" i="12"/>
  <c r="B12" i="13"/>
  <c r="B13" i="3"/>
  <c r="B13" i="4"/>
  <c r="B15" i="5"/>
  <c r="B13" i="6"/>
  <c r="B13" i="7"/>
  <c r="B13" i="8"/>
  <c r="B13" i="9"/>
  <c r="B13" i="11"/>
  <c r="B13" i="10"/>
  <c r="B13" i="12"/>
  <c r="B13" i="13"/>
  <c r="B14" i="3"/>
  <c r="B14" i="4"/>
  <c r="B16" i="5"/>
  <c r="B14" i="6"/>
  <c r="B14" i="7"/>
  <c r="B14" i="8"/>
  <c r="B14" i="9"/>
  <c r="B14" i="11"/>
  <c r="B14" i="10"/>
  <c r="B14" i="12"/>
  <c r="B14" i="13"/>
  <c r="B15" i="3"/>
  <c r="B15" i="4"/>
  <c r="B17" i="5"/>
  <c r="B15" i="6"/>
  <c r="B15" i="7"/>
  <c r="B15" i="8"/>
  <c r="B15" i="9"/>
  <c r="B15" i="11"/>
  <c r="B15" i="10"/>
  <c r="B15" i="12"/>
  <c r="B15" i="13"/>
  <c r="B16" i="3"/>
  <c r="B16" i="4"/>
  <c r="B18" i="5"/>
  <c r="B16" i="6"/>
  <c r="B16" i="7"/>
  <c r="B16" i="8"/>
  <c r="B16" i="9"/>
  <c r="B16" i="11"/>
  <c r="B16" i="10"/>
  <c r="B16" i="12"/>
  <c r="B16" i="13"/>
  <c r="B17" i="3"/>
  <c r="B17" i="4"/>
  <c r="B19" i="5"/>
  <c r="B17" i="6"/>
  <c r="B17" i="7"/>
  <c r="B17" i="8"/>
  <c r="B17" i="9"/>
  <c r="B17" i="11"/>
  <c r="B17" i="10"/>
  <c r="B17" i="12"/>
  <c r="B17" i="13"/>
  <c r="B18" i="3"/>
  <c r="B18" i="4"/>
  <c r="B20" i="5"/>
  <c r="B18" i="6"/>
  <c r="B18" i="7"/>
  <c r="B18" i="8"/>
  <c r="B18" i="9"/>
  <c r="B18" i="11"/>
  <c r="B18" i="10"/>
  <c r="B18" i="12"/>
  <c r="B18" i="13"/>
  <c r="B19" i="3"/>
  <c r="B19" i="4"/>
  <c r="B21" i="5"/>
  <c r="B19" i="6"/>
  <c r="B19" i="7"/>
  <c r="B19" i="8"/>
  <c r="B19" i="9"/>
  <c r="B19" i="11"/>
  <c r="B19" i="10"/>
  <c r="B19" i="12"/>
  <c r="B19" i="13"/>
  <c r="B20" i="3"/>
  <c r="B20" i="4"/>
  <c r="B22" i="5"/>
  <c r="B20" i="6"/>
  <c r="B20" i="7"/>
  <c r="B20" i="8"/>
  <c r="B20" i="9"/>
  <c r="B20" i="11"/>
  <c r="B20" i="10"/>
  <c r="B20" i="12"/>
  <c r="B20" i="13"/>
  <c r="B21" i="3"/>
  <c r="B21" i="4"/>
  <c r="B23" i="5"/>
  <c r="B21" i="6"/>
  <c r="B21" i="7"/>
  <c r="B21" i="8"/>
  <c r="B21" i="9"/>
  <c r="B21" i="11"/>
  <c r="B21" i="10"/>
  <c r="B21" i="12"/>
  <c r="B21" i="13"/>
  <c r="B22" i="3"/>
  <c r="B22" i="4"/>
  <c r="B24" i="5"/>
  <c r="B22" i="6"/>
  <c r="B22" i="7"/>
  <c r="B22" i="8"/>
  <c r="B22" i="9"/>
  <c r="B22" i="11"/>
  <c r="B22" i="10"/>
  <c r="B22" i="12"/>
  <c r="B22" i="13"/>
  <c r="B23" i="3"/>
  <c r="B23" i="4"/>
  <c r="B25" i="5"/>
  <c r="B23" i="6"/>
  <c r="B23" i="7"/>
  <c r="B23" i="8"/>
  <c r="B23" i="9"/>
  <c r="B23" i="11"/>
  <c r="B23" i="10"/>
  <c r="B23" i="12"/>
  <c r="B23" i="13"/>
  <c r="B24" i="3"/>
  <c r="B24" i="4"/>
  <c r="B26" i="5"/>
  <c r="B24" i="6"/>
  <c r="B24" i="7"/>
  <c r="B24" i="8"/>
  <c r="B24" i="9"/>
  <c r="B24" i="11"/>
  <c r="B24" i="10"/>
  <c r="B24" i="12"/>
  <c r="B24" i="13"/>
  <c r="B25" i="3"/>
  <c r="B25" i="4"/>
  <c r="B27" i="5"/>
  <c r="B25" i="6"/>
  <c r="B25" i="7"/>
  <c r="B25" i="8"/>
  <c r="B25" i="9"/>
  <c r="B25" i="11"/>
  <c r="B25" i="10"/>
  <c r="B25" i="12"/>
  <c r="B25" i="13"/>
  <c r="B26" i="3"/>
  <c r="B26" i="4"/>
  <c r="B28" i="5"/>
  <c r="B26" i="6"/>
  <c r="B26" i="7"/>
  <c r="B26" i="8"/>
  <c r="B26" i="9"/>
  <c r="B26" i="10"/>
  <c r="B26" i="12"/>
  <c r="B26" i="13"/>
  <c r="B27" i="4"/>
  <c r="B29" i="5"/>
  <c r="B27" i="6"/>
  <c r="B27" i="7"/>
  <c r="B27" i="8"/>
  <c r="B27" i="9"/>
  <c r="B27" i="11"/>
  <c r="B27" i="10"/>
  <c r="B27" i="12"/>
  <c r="B27" i="13"/>
  <c r="G15" i="8"/>
  <c r="G16"/>
  <c r="G17"/>
  <c r="G18"/>
  <c r="G19"/>
  <c r="G20"/>
  <c r="G21"/>
  <c r="B3" i="3"/>
  <c r="B3" i="4"/>
  <c r="B5" i="5"/>
  <c r="B3" i="6"/>
  <c r="B3" i="7"/>
  <c r="B3" i="8"/>
  <c r="B3" i="9"/>
  <c r="B3" i="11"/>
  <c r="B3" i="10"/>
  <c r="B3" i="12"/>
  <c r="B3" i="13"/>
  <c r="G15" i="7"/>
  <c r="G16"/>
  <c r="G17"/>
  <c r="G18"/>
  <c r="G19"/>
  <c r="G20"/>
  <c r="G21"/>
  <c r="G15" i="6"/>
  <c r="G16"/>
  <c r="G17"/>
  <c r="G18"/>
  <c r="G19"/>
  <c r="G20"/>
  <c r="H18" i="5"/>
  <c r="H19"/>
  <c r="H20"/>
  <c r="H21"/>
  <c r="H22"/>
  <c r="H23"/>
  <c r="G18"/>
  <c r="G19"/>
  <c r="G20"/>
  <c r="G21"/>
  <c r="G22"/>
  <c r="G23"/>
  <c r="G24"/>
  <c r="H16" i="4"/>
  <c r="H17"/>
  <c r="H18"/>
  <c r="H19"/>
  <c r="H20"/>
  <c r="H21"/>
  <c r="G16"/>
  <c r="G17"/>
  <c r="G18"/>
  <c r="G19"/>
  <c r="G20"/>
  <c r="G21"/>
  <c r="G3" i="3"/>
  <c r="H3"/>
  <c r="H16"/>
  <c r="H17"/>
  <c r="H18"/>
  <c r="G16"/>
  <c r="G17"/>
  <c r="G18"/>
  <c r="M26" i="2"/>
  <c r="L25"/>
  <c r="L25" i="3"/>
  <c r="L25" i="4"/>
  <c r="L27" i="5"/>
  <c r="L25" i="6"/>
  <c r="L25" i="7"/>
  <c r="L25" i="8"/>
  <c r="L25" i="9"/>
  <c r="L25" i="11"/>
  <c r="L25" i="10"/>
  <c r="L25" i="12"/>
  <c r="L25" i="13"/>
  <c r="L27" i="2"/>
  <c r="L27" i="3"/>
  <c r="L27" i="4"/>
  <c r="L29" i="5"/>
  <c r="L27" i="6"/>
  <c r="L27" i="7"/>
  <c r="L27" i="8"/>
  <c r="L27" i="9"/>
  <c r="L27" i="11"/>
  <c r="L27" i="10"/>
  <c r="L27" i="12"/>
  <c r="L27" i="13"/>
  <c r="J25" i="2"/>
  <c r="J25" i="3"/>
  <c r="J27" i="2"/>
  <c r="J27" i="3"/>
  <c r="H25" i="2"/>
  <c r="H26"/>
  <c r="G25"/>
  <c r="G26"/>
  <c r="G27"/>
  <c r="F27"/>
  <c r="F27" i="3"/>
  <c r="D27" i="2"/>
  <c r="D27" i="3"/>
  <c r="D27" i="4" s="1"/>
  <c r="J21" i="2"/>
  <c r="J21" i="3"/>
  <c r="L21" i="2"/>
  <c r="L21" i="3"/>
  <c r="L21" i="4"/>
  <c r="L23" i="5"/>
  <c r="L21" i="6"/>
  <c r="L21" i="7"/>
  <c r="L21" i="8"/>
  <c r="L21" i="9"/>
  <c r="L21" i="11"/>
  <c r="L21" i="10"/>
  <c r="L21" i="12"/>
  <c r="L21" i="13"/>
  <c r="M21" i="2"/>
  <c r="J22"/>
  <c r="J22" i="3"/>
  <c r="L22" i="2"/>
  <c r="L22" i="3"/>
  <c r="L22" i="4"/>
  <c r="L24" i="5"/>
  <c r="L22" i="6"/>
  <c r="L22" i="7"/>
  <c r="L22" i="8"/>
  <c r="L22" i="9"/>
  <c r="L22" i="11"/>
  <c r="L22" i="10"/>
  <c r="L22" i="12"/>
  <c r="L22" i="13"/>
  <c r="M22" i="2"/>
  <c r="J23"/>
  <c r="J23" i="3"/>
  <c r="L23" i="2"/>
  <c r="L23" i="3"/>
  <c r="L23" i="4"/>
  <c r="L25" i="5"/>
  <c r="L23" i="6"/>
  <c r="L23" i="7"/>
  <c r="L23" i="8"/>
  <c r="L23" i="9"/>
  <c r="L23" i="11"/>
  <c r="L23" i="10"/>
  <c r="L23" i="12"/>
  <c r="L23" i="13"/>
  <c r="M23" i="2"/>
  <c r="J24"/>
  <c r="J24" i="3"/>
  <c r="L24" i="2"/>
  <c r="L24" i="3"/>
  <c r="L24" i="4"/>
  <c r="L26" i="5"/>
  <c r="L24" i="6"/>
  <c r="L24" i="7"/>
  <c r="L24" i="8"/>
  <c r="L24" i="9"/>
  <c r="L24" i="11"/>
  <c r="L24" i="10"/>
  <c r="L24" i="12"/>
  <c r="L24" i="13"/>
  <c r="M24" i="2"/>
  <c r="H21"/>
  <c r="H22"/>
  <c r="H23"/>
  <c r="H24"/>
  <c r="G21"/>
  <c r="G22"/>
  <c r="G23"/>
  <c r="G24"/>
  <c r="L4"/>
  <c r="L4" i="3"/>
  <c r="L4" i="4"/>
  <c r="L6" i="5"/>
  <c r="L4" i="6"/>
  <c r="L4" i="7"/>
  <c r="L4" i="8"/>
  <c r="L4" i="9"/>
  <c r="L4" i="11"/>
  <c r="L4" i="10"/>
  <c r="L4" i="12"/>
  <c r="L4" i="13"/>
  <c r="L5" i="2"/>
  <c r="L5" i="3"/>
  <c r="L5" i="4"/>
  <c r="L7" i="5"/>
  <c r="L5" i="6"/>
  <c r="L5" i="7"/>
  <c r="L5" i="8"/>
  <c r="L5" i="9"/>
  <c r="L5" i="11"/>
  <c r="L5" i="10"/>
  <c r="L5" i="12"/>
  <c r="L5" i="13"/>
  <c r="L6" i="2"/>
  <c r="L6" i="3"/>
  <c r="L6" i="4"/>
  <c r="L8" i="5"/>
  <c r="L6" i="6"/>
  <c r="L6" i="7"/>
  <c r="L6" i="8"/>
  <c r="L6" i="9"/>
  <c r="L6" i="11"/>
  <c r="L6" i="10"/>
  <c r="L6" i="12"/>
  <c r="L6" i="13"/>
  <c r="L7" i="2"/>
  <c r="L7" i="3"/>
  <c r="L7" i="4"/>
  <c r="L9" i="5"/>
  <c r="L7" i="6"/>
  <c r="L7" i="7"/>
  <c r="L7" i="8"/>
  <c r="L7" i="9"/>
  <c r="L7" i="11"/>
  <c r="L7" i="10"/>
  <c r="L7" i="12"/>
  <c r="L7" i="13"/>
  <c r="L8" i="2"/>
  <c r="L8" i="3"/>
  <c r="L8" i="4"/>
  <c r="L10" i="5"/>
  <c r="L8" i="6"/>
  <c r="L8" i="7"/>
  <c r="L8" i="8"/>
  <c r="L8" i="9"/>
  <c r="L8" i="11"/>
  <c r="L8" i="10"/>
  <c r="L8" i="12"/>
  <c r="L8" i="13"/>
  <c r="L9" i="2"/>
  <c r="L9" i="3"/>
  <c r="L9" i="4"/>
  <c r="L11" i="5"/>
  <c r="L9" i="6"/>
  <c r="L9" i="7"/>
  <c r="L9" i="8"/>
  <c r="L9" i="9"/>
  <c r="L9" i="11"/>
  <c r="L9" i="10"/>
  <c r="L9" i="12"/>
  <c r="L9" i="13"/>
  <c r="L10" i="2"/>
  <c r="L10" i="3"/>
  <c r="L10" i="4"/>
  <c r="L12" i="5"/>
  <c r="L10" i="6"/>
  <c r="L10" i="7"/>
  <c r="L10" i="8"/>
  <c r="L10" i="9"/>
  <c r="L10" i="11"/>
  <c r="L10" i="10"/>
  <c r="L10" i="12"/>
  <c r="L10" i="13"/>
  <c r="L11" i="2"/>
  <c r="L11" i="3"/>
  <c r="L11" i="4"/>
  <c r="L13" i="5"/>
  <c r="L11" i="6"/>
  <c r="L11" i="7"/>
  <c r="L11" i="8"/>
  <c r="L11" i="9"/>
  <c r="L11" i="11"/>
  <c r="L11" i="10"/>
  <c r="L11" i="12"/>
  <c r="L11" i="13"/>
  <c r="L12" i="2"/>
  <c r="L12" i="3"/>
  <c r="L12" i="4"/>
  <c r="L14" i="5"/>
  <c r="L12" i="6"/>
  <c r="L12" i="7"/>
  <c r="L12" i="8"/>
  <c r="L12" i="9"/>
  <c r="L12" i="11"/>
  <c r="L12" i="10"/>
  <c r="L12" i="12"/>
  <c r="L12" i="13"/>
  <c r="L13" i="2"/>
  <c r="L13" i="3"/>
  <c r="L13" i="4"/>
  <c r="L15" i="5"/>
  <c r="L13" i="6"/>
  <c r="L13" i="7"/>
  <c r="L13" i="8"/>
  <c r="L13" i="9"/>
  <c r="L13" i="11"/>
  <c r="L13" i="10"/>
  <c r="L13" i="12"/>
  <c r="L13" i="13"/>
  <c r="L14" i="2"/>
  <c r="L14" i="3"/>
  <c r="L14" i="4"/>
  <c r="L16" i="5"/>
  <c r="L14" i="6"/>
  <c r="L14" i="7"/>
  <c r="L14" i="8"/>
  <c r="L14" i="9"/>
  <c r="L14" i="11"/>
  <c r="L14" i="10"/>
  <c r="L14" i="12"/>
  <c r="L14" i="13"/>
  <c r="L15" i="2"/>
  <c r="L15" i="3"/>
  <c r="L15" i="4"/>
  <c r="L17" i="5"/>
  <c r="L15" i="6"/>
  <c r="L15" i="7"/>
  <c r="L15" i="8"/>
  <c r="L15" i="9"/>
  <c r="L15" i="11"/>
  <c r="L15" i="10"/>
  <c r="L15" i="12"/>
  <c r="L15" i="13"/>
  <c r="L16" i="2"/>
  <c r="L16" i="3"/>
  <c r="L16" i="4"/>
  <c r="L18" i="5"/>
  <c r="L16" i="6"/>
  <c r="L16" i="7"/>
  <c r="L16" i="8"/>
  <c r="L16" i="9"/>
  <c r="L16" i="11"/>
  <c r="L16" i="10"/>
  <c r="L16" i="12"/>
  <c r="L16" i="13"/>
  <c r="L17" i="2"/>
  <c r="L17" i="3"/>
  <c r="L17" i="4"/>
  <c r="L19" i="5"/>
  <c r="L17" i="6"/>
  <c r="L17" i="7"/>
  <c r="L17" i="8"/>
  <c r="L17" i="9"/>
  <c r="L17" i="11"/>
  <c r="L17" i="10"/>
  <c r="L17" i="12"/>
  <c r="L17" i="13"/>
  <c r="L18" i="2"/>
  <c r="L18" i="3"/>
  <c r="L18" i="4"/>
  <c r="L20" i="5"/>
  <c r="L18" i="6"/>
  <c r="L18" i="7"/>
  <c r="L18" i="8"/>
  <c r="L18" i="9"/>
  <c r="L18" i="11"/>
  <c r="L18" i="10"/>
  <c r="L18" i="12"/>
  <c r="L18" i="13"/>
  <c r="L19" i="2"/>
  <c r="L19" i="3"/>
  <c r="L19" i="4"/>
  <c r="L21" i="5"/>
  <c r="L19" i="6"/>
  <c r="L19" i="7"/>
  <c r="L19" i="8"/>
  <c r="L19" i="9"/>
  <c r="L19" i="11"/>
  <c r="L19" i="10"/>
  <c r="L19" i="12"/>
  <c r="L19" i="13"/>
  <c r="L20" i="2"/>
  <c r="L20" i="3"/>
  <c r="L20" i="4"/>
  <c r="L22" i="5"/>
  <c r="L20" i="6"/>
  <c r="L20" i="7"/>
  <c r="L20" i="8"/>
  <c r="L20" i="9"/>
  <c r="L20" i="11"/>
  <c r="L20" i="10"/>
  <c r="L20" i="12"/>
  <c r="L20" i="13"/>
  <c r="L3" i="2"/>
  <c r="L3" i="3"/>
  <c r="L33" s="1"/>
  <c r="L3" i="4"/>
  <c r="L33" s="1"/>
  <c r="L5" i="5"/>
  <c r="L35" s="1"/>
  <c r="L3" i="6"/>
  <c r="L33" s="1"/>
  <c r="L3" i="7"/>
  <c r="L33" s="1"/>
  <c r="L3" i="8"/>
  <c r="L29" s="1"/>
  <c r="L3" i="9"/>
  <c r="L29" s="1"/>
  <c r="J4" i="2"/>
  <c r="J4" i="3"/>
  <c r="J4" i="4"/>
  <c r="J6" i="5"/>
  <c r="J4" i="6"/>
  <c r="J4" i="7"/>
  <c r="J4" i="8"/>
  <c r="J4" i="9"/>
  <c r="J5" i="2"/>
  <c r="J5" i="3"/>
  <c r="J5" i="4"/>
  <c r="J7" i="5"/>
  <c r="J5" i="6"/>
  <c r="J5" i="7"/>
  <c r="J5" i="8"/>
  <c r="J5" i="9"/>
  <c r="J6" i="2"/>
  <c r="J6" i="3"/>
  <c r="J6" i="4"/>
  <c r="J8" i="5"/>
  <c r="J6" i="6"/>
  <c r="J6" i="7"/>
  <c r="J6" i="8"/>
  <c r="J6" i="9"/>
  <c r="J7" i="2"/>
  <c r="J7" i="3"/>
  <c r="J7" i="4"/>
  <c r="J9" i="5"/>
  <c r="J7" i="6"/>
  <c r="J7" i="7"/>
  <c r="J7" i="8"/>
  <c r="J7" i="9"/>
  <c r="J8" i="2"/>
  <c r="J8" i="3"/>
  <c r="J8" i="4"/>
  <c r="J10" i="5"/>
  <c r="J8" i="6"/>
  <c r="J8" i="7"/>
  <c r="J8" i="8"/>
  <c r="J8" i="9"/>
  <c r="J9" i="2"/>
  <c r="J9" i="3"/>
  <c r="J9" i="4"/>
  <c r="J11" i="5"/>
  <c r="J9" i="6"/>
  <c r="J9" i="7"/>
  <c r="J9" i="8"/>
  <c r="J9" i="9"/>
  <c r="J10" i="2"/>
  <c r="J10" i="3"/>
  <c r="J10" i="4"/>
  <c r="J12" i="5"/>
  <c r="J10" i="6"/>
  <c r="J10" i="7"/>
  <c r="J10" i="8"/>
  <c r="J10" i="9"/>
  <c r="J11" i="2"/>
  <c r="J11" i="3"/>
  <c r="J11" i="4"/>
  <c r="J13" i="5"/>
  <c r="J11" i="6"/>
  <c r="J11" i="7"/>
  <c r="J11" i="8"/>
  <c r="J11" i="9"/>
  <c r="J12" i="2"/>
  <c r="J12" i="3"/>
  <c r="J12" i="4"/>
  <c r="J14" i="5"/>
  <c r="J12" i="6"/>
  <c r="J12" i="7"/>
  <c r="J12" i="8"/>
  <c r="J12" i="9"/>
  <c r="J13" i="2"/>
  <c r="J13" i="3"/>
  <c r="J13" i="4"/>
  <c r="J15" i="5"/>
  <c r="J13" i="6"/>
  <c r="J13" i="7"/>
  <c r="J13" i="8"/>
  <c r="J13" i="9"/>
  <c r="J14" i="2"/>
  <c r="J14" i="3"/>
  <c r="J14" i="4"/>
  <c r="J16" i="5"/>
  <c r="J14" i="6"/>
  <c r="J14" i="7"/>
  <c r="J14" i="8"/>
  <c r="J14" i="9"/>
  <c r="J15" i="2"/>
  <c r="J15" i="3"/>
  <c r="J15" i="4"/>
  <c r="J17" i="5"/>
  <c r="J15" i="6"/>
  <c r="J15" i="7"/>
  <c r="J15" i="8"/>
  <c r="J15" i="9"/>
  <c r="J16" i="2"/>
  <c r="J16" i="3"/>
  <c r="J16" i="4"/>
  <c r="J18" i="5"/>
  <c r="J16" i="6"/>
  <c r="J16" i="7"/>
  <c r="J16" i="8"/>
  <c r="J16" i="9"/>
  <c r="J17" i="2"/>
  <c r="J17" i="3"/>
  <c r="J17" i="4"/>
  <c r="J19" i="5"/>
  <c r="J17" i="6"/>
  <c r="J17" i="7"/>
  <c r="J17" i="8"/>
  <c r="J17" i="9"/>
  <c r="J18" i="2"/>
  <c r="J18" i="3"/>
  <c r="J18" i="4"/>
  <c r="J20" i="5"/>
  <c r="J18" i="6"/>
  <c r="J18" i="7"/>
  <c r="J18" i="8"/>
  <c r="J18" i="9"/>
  <c r="J19" i="2"/>
  <c r="J19" i="3"/>
  <c r="J20" i="2"/>
  <c r="J20" i="3"/>
  <c r="J3" i="2"/>
  <c r="J3" i="3"/>
  <c r="J33" s="1"/>
  <c r="J3" i="4"/>
  <c r="J5" i="5"/>
  <c r="J3" i="6"/>
  <c r="J3" i="7"/>
  <c r="J3" i="8"/>
  <c r="J3" i="9"/>
  <c r="G25" i="12"/>
  <c r="G4"/>
  <c r="G22"/>
  <c r="G26"/>
  <c r="G27"/>
  <c r="E28" i="6"/>
  <c r="C28"/>
  <c r="C37" s="1"/>
  <c r="K28" i="13"/>
  <c r="I28"/>
  <c r="G3"/>
  <c r="G33" s="1"/>
  <c r="E28"/>
  <c r="C28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K28" i="12"/>
  <c r="I28"/>
  <c r="G3"/>
  <c r="G5"/>
  <c r="G6"/>
  <c r="G7"/>
  <c r="G8"/>
  <c r="G9"/>
  <c r="G10"/>
  <c r="G11"/>
  <c r="G12"/>
  <c r="G13"/>
  <c r="G14"/>
  <c r="G15"/>
  <c r="G16"/>
  <c r="G17"/>
  <c r="G18"/>
  <c r="G19"/>
  <c r="G20"/>
  <c r="G21"/>
  <c r="E28"/>
  <c r="C28"/>
  <c r="A26"/>
  <c r="A27"/>
  <c r="G3" i="10"/>
  <c r="G29" s="1"/>
  <c r="A4"/>
  <c r="A5"/>
  <c r="A6"/>
  <c r="A7"/>
  <c r="A8"/>
  <c r="A9"/>
  <c r="A10"/>
  <c r="A11"/>
  <c r="A12"/>
  <c r="A13"/>
  <c r="A14"/>
  <c r="A15"/>
  <c r="A16"/>
  <c r="A17"/>
  <c r="G3" i="11"/>
  <c r="G29" s="1"/>
  <c r="G3" i="9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G3" i="8"/>
  <c r="G4"/>
  <c r="G5"/>
  <c r="G6"/>
  <c r="G7"/>
  <c r="G8"/>
  <c r="G9"/>
  <c r="G10"/>
  <c r="G11"/>
  <c r="G12"/>
  <c r="G13"/>
  <c r="G14"/>
  <c r="G22"/>
  <c r="G23"/>
  <c r="G24"/>
  <c r="G25"/>
  <c r="G26"/>
  <c r="G27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K28" i="7"/>
  <c r="I28"/>
  <c r="G3"/>
  <c r="G4"/>
  <c r="G5"/>
  <c r="G6"/>
  <c r="G7"/>
  <c r="G8"/>
  <c r="G9"/>
  <c r="G10"/>
  <c r="G11"/>
  <c r="G12"/>
  <c r="G13"/>
  <c r="G14"/>
  <c r="G22"/>
  <c r="G23"/>
  <c r="G24"/>
  <c r="G25"/>
  <c r="G26"/>
  <c r="G27"/>
  <c r="G28"/>
  <c r="E28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K28" i="6"/>
  <c r="I28"/>
  <c r="G3"/>
  <c r="G4"/>
  <c r="G5"/>
  <c r="G6"/>
  <c r="G7"/>
  <c r="G8"/>
  <c r="G9"/>
  <c r="G10"/>
  <c r="G11"/>
  <c r="G12"/>
  <c r="G13"/>
  <c r="G14"/>
  <c r="G21"/>
  <c r="G22"/>
  <c r="G23"/>
  <c r="G24"/>
  <c r="G25"/>
  <c r="G26"/>
  <c r="G27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K30" i="5"/>
  <c r="I30"/>
  <c r="H6"/>
  <c r="H7"/>
  <c r="H8"/>
  <c r="H9"/>
  <c r="H10"/>
  <c r="H11"/>
  <c r="H12"/>
  <c r="H13"/>
  <c r="H14"/>
  <c r="G5"/>
  <c r="G6"/>
  <c r="G7"/>
  <c r="G8"/>
  <c r="G9"/>
  <c r="G10"/>
  <c r="G11"/>
  <c r="G12"/>
  <c r="G13"/>
  <c r="G14"/>
  <c r="G15"/>
  <c r="G16"/>
  <c r="G17"/>
  <c r="G25"/>
  <c r="G26"/>
  <c r="G27"/>
  <c r="G28"/>
  <c r="G29"/>
  <c r="E30"/>
  <c r="C30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K28" i="4"/>
  <c r="I28"/>
  <c r="H3"/>
  <c r="H4"/>
  <c r="H5"/>
  <c r="H6"/>
  <c r="H7"/>
  <c r="H8"/>
  <c r="H9"/>
  <c r="H10"/>
  <c r="H11"/>
  <c r="H12"/>
  <c r="H15"/>
  <c r="H24"/>
  <c r="H25"/>
  <c r="G3"/>
  <c r="G4"/>
  <c r="G5"/>
  <c r="G6"/>
  <c r="G7"/>
  <c r="G8"/>
  <c r="G9"/>
  <c r="G10"/>
  <c r="G11"/>
  <c r="G12"/>
  <c r="G13"/>
  <c r="G14"/>
  <c r="G15"/>
  <c r="G22"/>
  <c r="G23"/>
  <c r="G24"/>
  <c r="G25"/>
  <c r="G26"/>
  <c r="G27"/>
  <c r="G28"/>
  <c r="E28"/>
  <c r="C28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K28" i="3"/>
  <c r="I28"/>
  <c r="H4"/>
  <c r="H5"/>
  <c r="H6"/>
  <c r="H7"/>
  <c r="H8"/>
  <c r="H9"/>
  <c r="H10"/>
  <c r="H11"/>
  <c r="H31" s="1"/>
  <c r="H12"/>
  <c r="H13"/>
  <c r="H14"/>
  <c r="H15"/>
  <c r="G4"/>
  <c r="G5"/>
  <c r="G6"/>
  <c r="G7"/>
  <c r="G8"/>
  <c r="G9"/>
  <c r="G10"/>
  <c r="G11"/>
  <c r="G31" s="1"/>
  <c r="G12"/>
  <c r="G13"/>
  <c r="G14"/>
  <c r="G15"/>
  <c r="G28"/>
  <c r="E28"/>
  <c r="C28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G4" i="2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G28" s="1"/>
  <c r="H14"/>
  <c r="H28" s="1"/>
  <c r="G15"/>
  <c r="H15"/>
  <c r="G16"/>
  <c r="H16"/>
  <c r="G17"/>
  <c r="H17"/>
  <c r="G18"/>
  <c r="H18"/>
  <c r="G19"/>
  <c r="H19"/>
  <c r="G20"/>
  <c r="H20"/>
  <c r="K28"/>
  <c r="J28"/>
  <c r="I28"/>
  <c r="H3"/>
  <c r="H33" s="1"/>
  <c r="G3"/>
  <c r="G33" s="1"/>
  <c r="F28"/>
  <c r="E28"/>
  <c r="C28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H26" i="5"/>
  <c r="M20" i="2"/>
  <c r="M18"/>
  <c r="M16"/>
  <c r="D28"/>
  <c r="H27" i="5"/>
  <c r="M19" i="2"/>
  <c r="M10"/>
  <c r="M7"/>
  <c r="M17"/>
  <c r="M15"/>
  <c r="M14"/>
  <c r="M12"/>
  <c r="M11"/>
  <c r="M8"/>
  <c r="M4"/>
  <c r="M14" i="3"/>
  <c r="M12"/>
  <c r="A18" i="10"/>
  <c r="A19"/>
  <c r="A20"/>
  <c r="A21"/>
  <c r="A22"/>
  <c r="A23"/>
  <c r="A24"/>
  <c r="A25"/>
  <c r="A26"/>
  <c r="A27"/>
  <c r="M3" i="2"/>
  <c r="M6"/>
  <c r="M4" i="3"/>
  <c r="J28"/>
  <c r="M8"/>
  <c r="M15"/>
  <c r="M5"/>
  <c r="M9"/>
  <c r="M10"/>
  <c r="M13"/>
  <c r="L28" i="2"/>
  <c r="M6" i="3"/>
  <c r="M11"/>
  <c r="M12" i="4"/>
  <c r="M14"/>
  <c r="M7" i="3"/>
  <c r="M5" i="2"/>
  <c r="M9"/>
  <c r="M13"/>
  <c r="M7" i="4"/>
  <c r="M16" i="5"/>
  <c r="M14"/>
  <c r="M11" i="4"/>
  <c r="M6"/>
  <c r="M26"/>
  <c r="L28" i="3"/>
  <c r="M13" i="4"/>
  <c r="M10"/>
  <c r="M9"/>
  <c r="M5"/>
  <c r="M15"/>
  <c r="M8"/>
  <c r="M4"/>
  <c r="M6" i="5"/>
  <c r="M10"/>
  <c r="M17"/>
  <c r="M7"/>
  <c r="M11"/>
  <c r="M12"/>
  <c r="M15"/>
  <c r="L28" i="4"/>
  <c r="M3"/>
  <c r="M28" i="5"/>
  <c r="M8"/>
  <c r="M13"/>
  <c r="M12" i="6"/>
  <c r="M14"/>
  <c r="M9" i="5"/>
  <c r="M7" i="6"/>
  <c r="M14" i="7"/>
  <c r="M12"/>
  <c r="M11" i="6"/>
  <c r="M13"/>
  <c r="M10"/>
  <c r="M9"/>
  <c r="M5"/>
  <c r="M6"/>
  <c r="M26"/>
  <c r="L30" i="5"/>
  <c r="M5"/>
  <c r="M8" i="6"/>
  <c r="M4"/>
  <c r="M26" i="7"/>
  <c r="M6"/>
  <c r="M9"/>
  <c r="M13"/>
  <c r="M11"/>
  <c r="M12" i="8"/>
  <c r="M14"/>
  <c r="M4" i="7"/>
  <c r="M8"/>
  <c r="L28" i="6"/>
  <c r="M3"/>
  <c r="M5" i="7"/>
  <c r="M10"/>
  <c r="M7"/>
  <c r="M7" i="8"/>
  <c r="M11"/>
  <c r="M13"/>
  <c r="M9"/>
  <c r="M10"/>
  <c r="M5"/>
  <c r="L28" i="7"/>
  <c r="M3"/>
  <c r="M8" i="8"/>
  <c r="M4"/>
  <c r="M6"/>
  <c r="M3"/>
  <c r="M3" i="9"/>
  <c r="G28" i="12"/>
  <c r="G28" i="13"/>
  <c r="J3" i="11"/>
  <c r="J20" i="4"/>
  <c r="M20" i="3"/>
  <c r="J19" i="4"/>
  <c r="M19" i="3"/>
  <c r="J18" i="11"/>
  <c r="M18" i="9"/>
  <c r="J17" i="11"/>
  <c r="M17" i="9"/>
  <c r="J16" i="11"/>
  <c r="M16" i="9"/>
  <c r="J15" i="11"/>
  <c r="M15" i="9"/>
  <c r="J14" i="11"/>
  <c r="M14" i="9"/>
  <c r="J13" i="11"/>
  <c r="M13" i="9"/>
  <c r="J12" i="11"/>
  <c r="M12" i="9"/>
  <c r="J11" i="11"/>
  <c r="M11" i="9"/>
  <c r="J10" i="11"/>
  <c r="M10" i="9"/>
  <c r="J9" i="11"/>
  <c r="M9" i="9"/>
  <c r="J8" i="11"/>
  <c r="M8" i="9"/>
  <c r="J7" i="11"/>
  <c r="M7" i="9"/>
  <c r="J6" i="11"/>
  <c r="M6" i="9"/>
  <c r="J5" i="11"/>
  <c r="M5" i="9"/>
  <c r="J4" i="11"/>
  <c r="M4" i="9"/>
  <c r="L3" i="11"/>
  <c r="L29" s="1"/>
  <c r="J24" i="4"/>
  <c r="M24" i="3"/>
  <c r="J23" i="4"/>
  <c r="M23" i="3"/>
  <c r="J22" i="4"/>
  <c r="M22" i="3"/>
  <c r="J21" i="4"/>
  <c r="M21" i="3"/>
  <c r="F27" i="4"/>
  <c r="H27" i="3"/>
  <c r="J27" i="4"/>
  <c r="M27" i="3"/>
  <c r="J25" i="4"/>
  <c r="M25" i="3"/>
  <c r="H27" i="2"/>
  <c r="M27"/>
  <c r="M25"/>
  <c r="M28"/>
  <c r="M18" i="3"/>
  <c r="M17"/>
  <c r="M16"/>
  <c r="M3"/>
  <c r="M28"/>
  <c r="M18" i="4"/>
  <c r="M17"/>
  <c r="M16"/>
  <c r="M20" i="5"/>
  <c r="M19"/>
  <c r="M18"/>
  <c r="M18" i="6"/>
  <c r="M17"/>
  <c r="M16"/>
  <c r="M15"/>
  <c r="M18" i="7"/>
  <c r="M17"/>
  <c r="M16"/>
  <c r="M15"/>
  <c r="M18" i="8"/>
  <c r="M17"/>
  <c r="M16"/>
  <c r="M15"/>
  <c r="J27" i="5"/>
  <c r="M25" i="4"/>
  <c r="J29" i="5"/>
  <c r="M27" i="4"/>
  <c r="F29" i="5"/>
  <c r="J23"/>
  <c r="M21" i="4"/>
  <c r="J24" i="5"/>
  <c r="M22" i="4"/>
  <c r="J25" i="5"/>
  <c r="M23" i="4"/>
  <c r="J26" i="5"/>
  <c r="M24" i="4"/>
  <c r="L3" i="10"/>
  <c r="L29" s="1"/>
  <c r="J4"/>
  <c r="M4" i="11"/>
  <c r="J5" i="10"/>
  <c r="M5" i="11"/>
  <c r="J6" i="10"/>
  <c r="M6" i="11"/>
  <c r="J7" i="10"/>
  <c r="M7" i="11"/>
  <c r="J8" i="10"/>
  <c r="M8" i="11"/>
  <c r="J9" i="10"/>
  <c r="M9" i="11"/>
  <c r="J10" i="10"/>
  <c r="M10" i="11"/>
  <c r="J11" i="10"/>
  <c r="M11" i="11"/>
  <c r="J12" i="10"/>
  <c r="M12" i="11"/>
  <c r="J13" i="10"/>
  <c r="M13" i="11"/>
  <c r="J14" i="10"/>
  <c r="M14" i="11"/>
  <c r="J15" i="10"/>
  <c r="M15" i="11"/>
  <c r="J16" i="10"/>
  <c r="M16" i="11"/>
  <c r="J17" i="10"/>
  <c r="M17" i="11"/>
  <c r="J18" i="10"/>
  <c r="M18" i="11"/>
  <c r="J21" i="5"/>
  <c r="M19" i="4"/>
  <c r="J28"/>
  <c r="J22" i="5"/>
  <c r="M20" i="4"/>
  <c r="J3" i="10"/>
  <c r="M3" i="11"/>
  <c r="M28" i="4"/>
  <c r="J3" i="12"/>
  <c r="M3" i="10"/>
  <c r="J20" i="6"/>
  <c r="M22" i="5"/>
  <c r="J19" i="6"/>
  <c r="M21" i="5"/>
  <c r="J30"/>
  <c r="J18" i="12"/>
  <c r="M18" i="10"/>
  <c r="J17" i="12"/>
  <c r="M17" i="10"/>
  <c r="J16" i="12"/>
  <c r="M16" i="10"/>
  <c r="J15" i="12"/>
  <c r="M15" i="10"/>
  <c r="J14" i="12"/>
  <c r="M14" i="10"/>
  <c r="J13" i="12"/>
  <c r="M13" i="10"/>
  <c r="J12" i="12"/>
  <c r="M12" i="10"/>
  <c r="J11" i="12"/>
  <c r="M11" i="10"/>
  <c r="J10" i="12"/>
  <c r="M10" i="10"/>
  <c r="J9" i="12"/>
  <c r="M9" i="10"/>
  <c r="J8" i="12"/>
  <c r="M8" i="10"/>
  <c r="J7" i="12"/>
  <c r="M7" i="10"/>
  <c r="J6" i="12"/>
  <c r="M6" i="10"/>
  <c r="J5" i="12"/>
  <c r="M5" i="10"/>
  <c r="J4" i="12"/>
  <c r="M4" i="10"/>
  <c r="L3" i="12"/>
  <c r="J24" i="6"/>
  <c r="M26" i="5"/>
  <c r="J23" i="6"/>
  <c r="M25" i="5"/>
  <c r="J22" i="6"/>
  <c r="M24" i="5"/>
  <c r="J21" i="6"/>
  <c r="M23" i="5"/>
  <c r="F27" i="6"/>
  <c r="F27" i="7" s="1"/>
  <c r="F27" i="8" s="1"/>
  <c r="F27" i="9" s="1"/>
  <c r="F27" i="11" s="1"/>
  <c r="F27" i="10" s="1"/>
  <c r="F27" i="12" s="1"/>
  <c r="F27" i="13" s="1"/>
  <c r="F27" i="14" s="1"/>
  <c r="J27" i="6"/>
  <c r="M29" i="5"/>
  <c r="J25" i="6"/>
  <c r="M27" i="5"/>
  <c r="J25" i="7"/>
  <c r="M25" i="6"/>
  <c r="J27" i="7"/>
  <c r="M27" i="6"/>
  <c r="J21" i="7"/>
  <c r="M21" i="6"/>
  <c r="J22" i="7"/>
  <c r="M22" i="6"/>
  <c r="J23" i="7"/>
  <c r="M23" i="6"/>
  <c r="J24" i="7"/>
  <c r="M24" i="6"/>
  <c r="L3" i="13"/>
  <c r="L33" s="1"/>
  <c r="L28"/>
  <c r="L28" i="12"/>
  <c r="J4" i="13"/>
  <c r="M4"/>
  <c r="M4" i="12"/>
  <c r="J5" i="13"/>
  <c r="M5"/>
  <c r="M5" i="12"/>
  <c r="J6" i="13"/>
  <c r="M6"/>
  <c r="M6" i="12"/>
  <c r="J7" i="13"/>
  <c r="M7"/>
  <c r="M7" i="12"/>
  <c r="J8" i="13"/>
  <c r="M8"/>
  <c r="M8" i="12"/>
  <c r="J9" i="13"/>
  <c r="M9"/>
  <c r="M9" i="12"/>
  <c r="J10" i="13"/>
  <c r="M10"/>
  <c r="M10" i="12"/>
  <c r="J11" i="13"/>
  <c r="M11"/>
  <c r="M11" i="12"/>
  <c r="J12" i="13"/>
  <c r="M12"/>
  <c r="M12" i="12"/>
  <c r="J13" i="13"/>
  <c r="M13"/>
  <c r="M13" i="12"/>
  <c r="J14" i="13"/>
  <c r="M14"/>
  <c r="M14" i="12"/>
  <c r="J15" i="13"/>
  <c r="M15"/>
  <c r="M15" i="12"/>
  <c r="J16" i="13"/>
  <c r="M16"/>
  <c r="M16" i="12"/>
  <c r="J17" i="13"/>
  <c r="M17"/>
  <c r="M17" i="12"/>
  <c r="J18" i="13"/>
  <c r="M18"/>
  <c r="M18" i="12"/>
  <c r="J19" i="7"/>
  <c r="M19" i="6"/>
  <c r="J28"/>
  <c r="J20" i="7"/>
  <c r="M20" i="6"/>
  <c r="J3" i="13"/>
  <c r="M3" i="12"/>
  <c r="M30" i="5"/>
  <c r="M3" i="13"/>
  <c r="J20" i="8"/>
  <c r="M20" i="7"/>
  <c r="J19" i="8"/>
  <c r="M19" i="7"/>
  <c r="J28"/>
  <c r="J24" i="8"/>
  <c r="M24" i="7"/>
  <c r="J23" i="8"/>
  <c r="M23" i="7"/>
  <c r="J22" i="8"/>
  <c r="M22" i="7"/>
  <c r="J21" i="8"/>
  <c r="M21" i="7"/>
  <c r="J27" i="8"/>
  <c r="M27" i="7"/>
  <c r="J25" i="8"/>
  <c r="M25" i="7"/>
  <c r="M28" i="6"/>
  <c r="J25" i="9"/>
  <c r="M25" i="8"/>
  <c r="J27" i="9"/>
  <c r="M27" i="8"/>
  <c r="J21" i="9"/>
  <c r="M21" i="8"/>
  <c r="J22" i="9"/>
  <c r="M22" i="8"/>
  <c r="J23" i="9"/>
  <c r="M23" i="8"/>
  <c r="J24" i="9"/>
  <c r="M24" i="8"/>
  <c r="J19" i="9"/>
  <c r="M19" i="8"/>
  <c r="J20" i="9"/>
  <c r="M20" i="8"/>
  <c r="M28" i="7"/>
  <c r="J20" i="11"/>
  <c r="M20" i="9"/>
  <c r="J19" i="11"/>
  <c r="M19" i="9"/>
  <c r="J24" i="11"/>
  <c r="M24" i="9"/>
  <c r="J23" i="11"/>
  <c r="M23" i="9"/>
  <c r="J22" i="11"/>
  <c r="M22" i="9"/>
  <c r="J21" i="11"/>
  <c r="M21" i="9"/>
  <c r="J27" i="11"/>
  <c r="M27" i="9"/>
  <c r="J25" i="11"/>
  <c r="M25" i="9"/>
  <c r="J25" i="10"/>
  <c r="M25" i="11"/>
  <c r="J27" i="10"/>
  <c r="M27" i="11"/>
  <c r="J21" i="10"/>
  <c r="M21" i="11"/>
  <c r="J22" i="10"/>
  <c r="M22" i="11"/>
  <c r="J23" i="10"/>
  <c r="M23" i="11"/>
  <c r="J24" i="10"/>
  <c r="M24" i="11"/>
  <c r="J19" i="10"/>
  <c r="M19" i="11"/>
  <c r="J20" i="10"/>
  <c r="M20" i="11"/>
  <c r="J20" i="12"/>
  <c r="M20" i="10"/>
  <c r="J19" i="12"/>
  <c r="M19" i="10"/>
  <c r="J24" i="12"/>
  <c r="M24" i="10"/>
  <c r="J23" i="12"/>
  <c r="M23" i="10"/>
  <c r="J22" i="12"/>
  <c r="M22" i="10"/>
  <c r="J21" i="12"/>
  <c r="M21" i="10"/>
  <c r="J27" i="12"/>
  <c r="M27" i="10"/>
  <c r="J25" i="12"/>
  <c r="M25" i="10"/>
  <c r="J25" i="13"/>
  <c r="M25"/>
  <c r="M25" i="12"/>
  <c r="J27" i="13"/>
  <c r="M27"/>
  <c r="M27" i="12"/>
  <c r="J21" i="13"/>
  <c r="M21"/>
  <c r="M21" i="12"/>
  <c r="J22" i="13"/>
  <c r="M22"/>
  <c r="M22" i="12"/>
  <c r="J23" i="13"/>
  <c r="M23"/>
  <c r="M23" i="12"/>
  <c r="J24" i="13"/>
  <c r="M24"/>
  <c r="M24" i="12"/>
  <c r="J19" i="13"/>
  <c r="M19" i="12"/>
  <c r="J28"/>
  <c r="J20" i="13"/>
  <c r="M20"/>
  <c r="M20" i="12"/>
  <c r="M19" i="13"/>
  <c r="M28"/>
  <c r="J28"/>
  <c r="M28" i="12"/>
  <c r="G33" i="7"/>
  <c r="F32" i="14" l="1"/>
  <c r="G28" i="6"/>
  <c r="D25" i="7"/>
  <c r="H25" i="6"/>
  <c r="D24" i="7"/>
  <c r="H24" i="6"/>
  <c r="D21" i="7"/>
  <c r="H21" i="6"/>
  <c r="D20" i="7"/>
  <c r="H20" i="6"/>
  <c r="D19" i="7"/>
  <c r="H19" i="6"/>
  <c r="D18" i="8"/>
  <c r="H18" i="7"/>
  <c r="H18" i="6"/>
  <c r="H17"/>
  <c r="D17" i="7"/>
  <c r="D16"/>
  <c r="H16" i="6"/>
  <c r="H17" i="5"/>
  <c r="H15" i="6"/>
  <c r="F15" i="7"/>
  <c r="D12"/>
  <c r="H12" i="6"/>
  <c r="H11"/>
  <c r="D11" i="7"/>
  <c r="D10"/>
  <c r="H10" i="6"/>
  <c r="H9"/>
  <c r="D9" i="7"/>
  <c r="D8"/>
  <c r="H8" i="6"/>
  <c r="G30" i="5"/>
  <c r="D7" i="7"/>
  <c r="H7" i="6"/>
  <c r="D6" i="7"/>
  <c r="H6" i="6"/>
  <c r="D5" i="7"/>
  <c r="H5" i="6"/>
  <c r="D4" i="7"/>
  <c r="H4" i="6"/>
  <c r="F3"/>
  <c r="D29" i="5"/>
  <c r="H27" i="4"/>
  <c r="F26"/>
  <c r="F28" i="5" s="1"/>
  <c r="F26" i="6" s="1"/>
  <c r="F26" i="7" s="1"/>
  <c r="F26" i="8" s="1"/>
  <c r="F26" i="9" s="1"/>
  <c r="F26" i="11" s="1"/>
  <c r="F26" i="10" s="1"/>
  <c r="F26" i="12" s="1"/>
  <c r="F26" i="13" s="1"/>
  <c r="F26" i="14" s="1"/>
  <c r="F28" i="3"/>
  <c r="H26"/>
  <c r="D26" i="4"/>
  <c r="D24" i="5"/>
  <c r="H22" i="4"/>
  <c r="D23"/>
  <c r="D28" s="1"/>
  <c r="H23" i="3"/>
  <c r="F15" i="5"/>
  <c r="D16"/>
  <c r="H14" i="4"/>
  <c r="D28" i="3"/>
  <c r="D15" i="5"/>
  <c r="H13" i="4"/>
  <c r="D33"/>
  <c r="D5" i="5"/>
  <c r="M29" i="10"/>
  <c r="M29" i="11"/>
  <c r="J29" i="10"/>
  <c r="J29" i="11"/>
  <c r="M29" i="9"/>
  <c r="M29" i="8"/>
  <c r="J29" i="9"/>
  <c r="J29" i="8"/>
  <c r="J33" i="7"/>
  <c r="J33" i="6"/>
  <c r="J35" i="5"/>
  <c r="J33" i="4"/>
  <c r="J30" i="7"/>
  <c r="J30" i="6"/>
  <c r="J32" i="5"/>
  <c r="J30" i="4"/>
  <c r="J30" i="3"/>
  <c r="J31" i="7"/>
  <c r="J31" i="6"/>
  <c r="J33" i="5"/>
  <c r="J31" i="4"/>
  <c r="J31" i="3"/>
  <c r="J32" i="7"/>
  <c r="J32" i="6"/>
  <c r="J34" i="5"/>
  <c r="J32" i="4"/>
  <c r="J32" i="3"/>
  <c r="L30" i="7"/>
  <c r="L30" i="6"/>
  <c r="L32" i="5"/>
  <c r="L30" i="4"/>
  <c r="L30" i="3"/>
  <c r="L31" i="7"/>
  <c r="L31" i="6"/>
  <c r="L33" i="5"/>
  <c r="L31" i="4"/>
  <c r="L31" i="3"/>
  <c r="L32" i="7"/>
  <c r="L32" i="6"/>
  <c r="L34" i="5"/>
  <c r="L32" i="4"/>
  <c r="L32" i="3"/>
  <c r="G31" i="13"/>
  <c r="G30"/>
  <c r="G32"/>
  <c r="G32" i="12"/>
  <c r="G31"/>
  <c r="G33"/>
  <c r="J33"/>
  <c r="J32"/>
  <c r="J31"/>
  <c r="J32" i="10"/>
  <c r="J33"/>
  <c r="J34"/>
  <c r="L31" i="12"/>
  <c r="L32" i="10"/>
  <c r="L32" i="12"/>
  <c r="L33" i="10"/>
  <c r="L33" i="12"/>
  <c r="L34" i="10"/>
  <c r="G34" i="11"/>
  <c r="G29" i="8"/>
  <c r="F32" i="12"/>
  <c r="F33" i="10"/>
  <c r="G33"/>
  <c r="G32"/>
  <c r="F33" i="12"/>
  <c r="F34" i="10"/>
  <c r="G34"/>
  <c r="G29" i="9"/>
  <c r="J33" i="13"/>
  <c r="J30"/>
  <c r="J31"/>
  <c r="J32"/>
  <c r="J33" i="11"/>
  <c r="J32"/>
  <c r="J31"/>
  <c r="J31" i="9"/>
  <c r="J31" i="8"/>
  <c r="J32" i="9"/>
  <c r="J32" i="8"/>
  <c r="J33" i="9"/>
  <c r="J33" i="8"/>
  <c r="L30" i="13"/>
  <c r="L31" i="11"/>
  <c r="L31" i="9"/>
  <c r="L31" i="8"/>
  <c r="L31" i="13"/>
  <c r="L32" i="11"/>
  <c r="L32" i="9"/>
  <c r="L32" i="8"/>
  <c r="L32" i="13"/>
  <c r="L33" i="11"/>
  <c r="L33" i="9"/>
  <c r="L33" i="8"/>
  <c r="F32" i="11"/>
  <c r="G32"/>
  <c r="G31"/>
  <c r="F33"/>
  <c r="G33"/>
  <c r="G32" i="9"/>
  <c r="G31"/>
  <c r="G33"/>
  <c r="G32" i="8"/>
  <c r="F32" i="9"/>
  <c r="F32" i="8"/>
  <c r="G31"/>
  <c r="F33" i="9"/>
  <c r="F33" i="8"/>
  <c r="G33"/>
  <c r="G31" i="7"/>
  <c r="F31"/>
  <c r="D31"/>
  <c r="G30"/>
  <c r="F32"/>
  <c r="G32"/>
  <c r="G31" i="6"/>
  <c r="G30"/>
  <c r="G33"/>
  <c r="G32"/>
  <c r="G33" i="5"/>
  <c r="H33"/>
  <c r="F33"/>
  <c r="D33"/>
  <c r="F32"/>
  <c r="G32"/>
  <c r="G35"/>
  <c r="F34"/>
  <c r="G34"/>
  <c r="G31" i="4"/>
  <c r="G30"/>
  <c r="G33"/>
  <c r="G32"/>
  <c r="G30" i="3"/>
  <c r="G33"/>
  <c r="G32"/>
  <c r="H31" i="4"/>
  <c r="H31" i="6"/>
  <c r="F31" i="13"/>
  <c r="F31" i="6"/>
  <c r="F31" i="4"/>
  <c r="F31" i="3"/>
  <c r="F31" i="2"/>
  <c r="H31"/>
  <c r="G31"/>
  <c r="D31" i="6"/>
  <c r="D31" i="4"/>
  <c r="D31" i="3"/>
  <c r="D31" i="2"/>
  <c r="F30" i="4"/>
  <c r="F30" i="3"/>
  <c r="F30" i="2"/>
  <c r="H30"/>
  <c r="G30"/>
  <c r="H30" i="3"/>
  <c r="D30" i="4"/>
  <c r="D30" i="3"/>
  <c r="D30" i="2"/>
  <c r="H33" i="4"/>
  <c r="H33" i="3"/>
  <c r="F32" i="13"/>
  <c r="F32" i="6"/>
  <c r="F32" i="4"/>
  <c r="F32" i="3"/>
  <c r="F32" i="2"/>
  <c r="H32"/>
  <c r="G32"/>
  <c r="H32" i="3"/>
  <c r="D32" i="4"/>
  <c r="D32" i="3"/>
  <c r="D32" i="2"/>
  <c r="D25" i="8" l="1"/>
  <c r="H25" i="7"/>
  <c r="H24"/>
  <c r="D24" i="8"/>
  <c r="D21"/>
  <c r="H21" i="7"/>
  <c r="D20" i="8"/>
  <c r="H20" i="7"/>
  <c r="D19" i="8"/>
  <c r="H19" i="7"/>
  <c r="D18" i="9"/>
  <c r="H18" i="8"/>
  <c r="D17"/>
  <c r="H17" i="7"/>
  <c r="D16" i="8"/>
  <c r="H16" i="7"/>
  <c r="F15" i="8"/>
  <c r="H15" i="7"/>
  <c r="D12" i="8"/>
  <c r="H12" i="7"/>
  <c r="D11" i="8"/>
  <c r="H11" i="7"/>
  <c r="D10" i="8"/>
  <c r="H10" i="7"/>
  <c r="D9" i="8"/>
  <c r="H9" i="7"/>
  <c r="H8"/>
  <c r="D8" i="8"/>
  <c r="D7"/>
  <c r="H7" i="7"/>
  <c r="H6"/>
  <c r="D6" i="8"/>
  <c r="D5"/>
  <c r="H5" i="7"/>
  <c r="D4" i="8"/>
  <c r="H4" i="7"/>
  <c r="F33" i="6"/>
  <c r="F3" i="7"/>
  <c r="F28" i="4"/>
  <c r="D27" i="6"/>
  <c r="H29" i="5"/>
  <c r="H30" i="4"/>
  <c r="H28" i="3"/>
  <c r="D28" i="5"/>
  <c r="H26" i="4"/>
  <c r="D25" i="5"/>
  <c r="H23" i="4"/>
  <c r="H32" s="1"/>
  <c r="D22" i="6"/>
  <c r="H24" i="5"/>
  <c r="F13" i="6"/>
  <c r="F30" i="5"/>
  <c r="F28" i="6" s="1"/>
  <c r="H16" i="5"/>
  <c r="D14" i="6"/>
  <c r="D32" i="5"/>
  <c r="D13" i="6"/>
  <c r="H15" i="5"/>
  <c r="D35"/>
  <c r="D3" i="6"/>
  <c r="H5" i="5"/>
  <c r="D30" l="1"/>
  <c r="D28" i="6" s="1"/>
  <c r="H25" i="8"/>
  <c r="D25" i="9"/>
  <c r="H31" i="7"/>
  <c r="D24" i="9"/>
  <c r="H24" i="8"/>
  <c r="D21" i="9"/>
  <c r="H21" i="8"/>
  <c r="H20"/>
  <c r="D20" i="9"/>
  <c r="D19"/>
  <c r="H19" i="8"/>
  <c r="H18" i="9"/>
  <c r="D18" i="11"/>
  <c r="D17" i="9"/>
  <c r="H17" i="8"/>
  <c r="D16" i="9"/>
  <c r="H16" i="8"/>
  <c r="F15" i="9"/>
  <c r="H15" i="8"/>
  <c r="D12" i="9"/>
  <c r="H12" i="8"/>
  <c r="H11"/>
  <c r="D11" i="9"/>
  <c r="D32" i="8"/>
  <c r="D10" i="9"/>
  <c r="H10" i="8"/>
  <c r="H9"/>
  <c r="D9" i="9"/>
  <c r="D8"/>
  <c r="H8" i="8"/>
  <c r="D7" i="9"/>
  <c r="H7" i="8"/>
  <c r="D6" i="9"/>
  <c r="H6" i="8"/>
  <c r="D5" i="9"/>
  <c r="H5" i="8"/>
  <c r="D4" i="9"/>
  <c r="H4" i="8"/>
  <c r="F33" i="7"/>
  <c r="F3" i="8"/>
  <c r="F3" i="9" s="1"/>
  <c r="F3" i="11" s="1"/>
  <c r="D27" i="7"/>
  <c r="H27" i="6"/>
  <c r="H32" i="5"/>
  <c r="H28" i="4"/>
  <c r="D26" i="6"/>
  <c r="H28" i="5"/>
  <c r="D22" i="7"/>
  <c r="H22" i="6"/>
  <c r="D23"/>
  <c r="H25" i="5"/>
  <c r="H34" s="1"/>
  <c r="D34"/>
  <c r="F13" i="7"/>
  <c r="F30" i="6"/>
  <c r="D14" i="7"/>
  <c r="H14" i="6"/>
  <c r="H13"/>
  <c r="D13" i="7"/>
  <c r="D30" i="6"/>
  <c r="H35" i="5"/>
  <c r="D33" i="6"/>
  <c r="D3" i="7"/>
  <c r="H3" i="6"/>
  <c r="H30" i="5" l="1"/>
  <c r="D25" i="11"/>
  <c r="H25" i="9"/>
  <c r="H32" i="8"/>
  <c r="H24" i="9"/>
  <c r="D24" i="11"/>
  <c r="H21" i="9"/>
  <c r="D21" i="11"/>
  <c r="D20"/>
  <c r="H20" i="9"/>
  <c r="H19"/>
  <c r="D19" i="11"/>
  <c r="D18" i="10"/>
  <c r="H18" i="11"/>
  <c r="D17"/>
  <c r="H17" i="9"/>
  <c r="H16"/>
  <c r="D16" i="11"/>
  <c r="F15"/>
  <c r="H15" i="9"/>
  <c r="H12"/>
  <c r="D12" i="11"/>
  <c r="D11"/>
  <c r="H11" i="9"/>
  <c r="H32" s="1"/>
  <c r="D32"/>
  <c r="H10"/>
  <c r="D10" i="11"/>
  <c r="D9"/>
  <c r="H9" i="9"/>
  <c r="H8"/>
  <c r="D8" i="11"/>
  <c r="D7"/>
  <c r="H7" i="9"/>
  <c r="H6"/>
  <c r="D6" i="11"/>
  <c r="D5"/>
  <c r="H5" i="9"/>
  <c r="H4"/>
  <c r="D4" i="11"/>
  <c r="F3" i="10"/>
  <c r="F3" i="12" s="1"/>
  <c r="F3" i="13" s="1"/>
  <c r="F34" i="11"/>
  <c r="D27" i="8"/>
  <c r="H27" i="7"/>
  <c r="D26"/>
  <c r="H26" i="6"/>
  <c r="D23" i="7"/>
  <c r="H23" i="6"/>
  <c r="H32" s="1"/>
  <c r="D32"/>
  <c r="H22" i="7"/>
  <c r="D22" i="8"/>
  <c r="H30" i="6"/>
  <c r="F13" i="8"/>
  <c r="F28" i="7"/>
  <c r="F30"/>
  <c r="H14"/>
  <c r="D14" i="8"/>
  <c r="D13"/>
  <c r="H13" i="7"/>
  <c r="D30"/>
  <c r="H33" i="6"/>
  <c r="H28"/>
  <c r="D33" i="7"/>
  <c r="D3" i="8"/>
  <c r="H3" i="7"/>
  <c r="D28"/>
  <c r="H25" i="11" l="1"/>
  <c r="D25" i="10"/>
  <c r="D24"/>
  <c r="H24" i="11"/>
  <c r="D21" i="10"/>
  <c r="H21" i="11"/>
  <c r="H20"/>
  <c r="D20" i="10"/>
  <c r="D19"/>
  <c r="H19" i="11"/>
  <c r="H18" i="10"/>
  <c r="D18" i="12"/>
  <c r="D17" i="10"/>
  <c r="H17" i="11"/>
  <c r="D16" i="10"/>
  <c r="H16" i="11"/>
  <c r="F15" i="10"/>
  <c r="H15" i="11"/>
  <c r="D12" i="10"/>
  <c r="H12" i="11"/>
  <c r="D11" i="10"/>
  <c r="H11" i="11"/>
  <c r="H32" s="1"/>
  <c r="D32"/>
  <c r="D10" i="10"/>
  <c r="H10" i="11"/>
  <c r="D9" i="10"/>
  <c r="H9" i="11"/>
  <c r="D8" i="10"/>
  <c r="H8" i="11"/>
  <c r="D7" i="10"/>
  <c r="H7" i="11"/>
  <c r="D6" i="10"/>
  <c r="H6" i="11"/>
  <c r="D5" i="10"/>
  <c r="H5" i="11"/>
  <c r="D4" i="10"/>
  <c r="H4" i="11"/>
  <c r="D27" i="9"/>
  <c r="H27" i="8"/>
  <c r="D26"/>
  <c r="H26" i="7"/>
  <c r="D22" i="9"/>
  <c r="H22" i="8"/>
  <c r="D23"/>
  <c r="H23" i="7"/>
  <c r="H32" s="1"/>
  <c r="D32"/>
  <c r="F13" i="9"/>
  <c r="F29" i="8"/>
  <c r="F31"/>
  <c r="D14" i="9"/>
  <c r="H14" i="8"/>
  <c r="H30" i="7"/>
  <c r="H13" i="8"/>
  <c r="H31" s="1"/>
  <c r="D13" i="9"/>
  <c r="D31" i="8"/>
  <c r="H33" i="7"/>
  <c r="H28"/>
  <c r="D3" i="9"/>
  <c r="H3" i="8"/>
  <c r="D29"/>
  <c r="D25" i="12" l="1"/>
  <c r="H25" i="10"/>
  <c r="H24"/>
  <c r="D24" i="12"/>
  <c r="H21" i="10"/>
  <c r="D21" i="12"/>
  <c r="D20"/>
  <c r="H20" i="10"/>
  <c r="H19"/>
  <c r="D19" i="12"/>
  <c r="D18" i="13"/>
  <c r="H18" s="1"/>
  <c r="H18" i="12"/>
  <c r="D17"/>
  <c r="H17" i="10"/>
  <c r="H16"/>
  <c r="D16" i="12"/>
  <c r="F15"/>
  <c r="H15" i="10"/>
  <c r="H12"/>
  <c r="D12" i="12"/>
  <c r="D11"/>
  <c r="H11" i="10"/>
  <c r="H33" s="1"/>
  <c r="D33"/>
  <c r="H10"/>
  <c r="D10" i="12"/>
  <c r="D9"/>
  <c r="H9" i="10"/>
  <c r="H8"/>
  <c r="D8" i="12"/>
  <c r="D7"/>
  <c r="H7" i="10"/>
  <c r="H6"/>
  <c r="D6" i="12"/>
  <c r="D5"/>
  <c r="H5" i="10"/>
  <c r="H4"/>
  <c r="D4" i="12"/>
  <c r="D27" i="11"/>
  <c r="H27" i="9"/>
  <c r="D26"/>
  <c r="H26" i="8"/>
  <c r="H23"/>
  <c r="H33" s="1"/>
  <c r="D23" i="9"/>
  <c r="D33" i="8"/>
  <c r="D22" i="11"/>
  <c r="H22" i="9"/>
  <c r="F13" i="11"/>
  <c r="F31" i="9"/>
  <c r="F29"/>
  <c r="D14" i="11"/>
  <c r="H14" i="9"/>
  <c r="D13" i="11"/>
  <c r="H13" i="9"/>
  <c r="H31" s="1"/>
  <c r="D31"/>
  <c r="D3" i="11"/>
  <c r="H3" i="9"/>
  <c r="D29"/>
  <c r="H29" i="8" l="1"/>
  <c r="H25" i="12"/>
  <c r="D25" i="13"/>
  <c r="H25" s="1"/>
  <c r="D24"/>
  <c r="H24" s="1"/>
  <c r="H24" i="12"/>
  <c r="D21" i="13"/>
  <c r="H21" s="1"/>
  <c r="H21" i="12"/>
  <c r="D20" i="13"/>
  <c r="H20" s="1"/>
  <c r="H20" i="12"/>
  <c r="D19" i="13"/>
  <c r="H19" s="1"/>
  <c r="H19" i="12"/>
  <c r="D17" i="13"/>
  <c r="H17" s="1"/>
  <c r="H17" i="12"/>
  <c r="D16" i="13"/>
  <c r="H16" s="1"/>
  <c r="H16" i="12"/>
  <c r="H15"/>
  <c r="F15" i="13"/>
  <c r="D12"/>
  <c r="H12" s="1"/>
  <c r="H12" i="12"/>
  <c r="D11" i="13"/>
  <c r="H11" i="12"/>
  <c r="H32" s="1"/>
  <c r="D32"/>
  <c r="D10" i="13"/>
  <c r="H10" s="1"/>
  <c r="H10" i="12"/>
  <c r="D9" i="13"/>
  <c r="H9" s="1"/>
  <c r="H9" i="12"/>
  <c r="D8" i="13"/>
  <c r="H8" s="1"/>
  <c r="H8" i="12"/>
  <c r="D7" i="13"/>
  <c r="H7" s="1"/>
  <c r="H7" i="12"/>
  <c r="D6" i="13"/>
  <c r="H6" s="1"/>
  <c r="H6" i="12"/>
  <c r="D5" i="13"/>
  <c r="H5" s="1"/>
  <c r="H5" i="12"/>
  <c r="D4" i="13"/>
  <c r="H4" s="1"/>
  <c r="H4" i="12"/>
  <c r="D27" i="10"/>
  <c r="H27" i="11"/>
  <c r="D26"/>
  <c r="H26" i="9"/>
  <c r="D22" i="10"/>
  <c r="H22" i="11"/>
  <c r="D23"/>
  <c r="H23" i="9"/>
  <c r="H33" s="1"/>
  <c r="D33"/>
  <c r="F13" i="10"/>
  <c r="F31" i="11"/>
  <c r="F29"/>
  <c r="D14" i="10"/>
  <c r="H14" i="11"/>
  <c r="H29" i="9"/>
  <c r="H13" i="11"/>
  <c r="H31" s="1"/>
  <c r="D13" i="10"/>
  <c r="D31" i="11"/>
  <c r="D3" i="10"/>
  <c r="H3" i="11"/>
  <c r="D29"/>
  <c r="D34"/>
  <c r="H15" i="13" l="1"/>
  <c r="F33"/>
  <c r="H11"/>
  <c r="H31" s="1"/>
  <c r="D31"/>
  <c r="D27" i="12"/>
  <c r="H27" i="10"/>
  <c r="H26" i="11"/>
  <c r="D26" i="10"/>
  <c r="H23" i="11"/>
  <c r="H33" s="1"/>
  <c r="D23" i="10"/>
  <c r="D33" i="11"/>
  <c r="D22" i="12"/>
  <c r="H22" i="10"/>
  <c r="F13" i="12"/>
  <c r="F32" i="10"/>
  <c r="F29"/>
  <c r="D14" i="12"/>
  <c r="H14" i="10"/>
  <c r="D13" i="12"/>
  <c r="H13" i="10"/>
  <c r="D32"/>
  <c r="H29" i="11"/>
  <c r="H34"/>
  <c r="D3" i="12"/>
  <c r="H3" i="10"/>
  <c r="D29"/>
  <c r="H32" l="1"/>
  <c r="D27" i="13"/>
  <c r="H27" i="12"/>
  <c r="D26"/>
  <c r="H26" i="10"/>
  <c r="D22" i="13"/>
  <c r="H22" i="12"/>
  <c r="D23"/>
  <c r="H23" i="10"/>
  <c r="H34" s="1"/>
  <c r="D34"/>
  <c r="F13" i="13"/>
  <c r="F13" i="14" s="1"/>
  <c r="F28" i="12"/>
  <c r="F31"/>
  <c r="D14" i="13"/>
  <c r="H14" i="12"/>
  <c r="H29" i="10"/>
  <c r="H13" i="12"/>
  <c r="H31" s="1"/>
  <c r="D13" i="13"/>
  <c r="D13" i="14" s="1"/>
  <c r="D31" i="12"/>
  <c r="D3" i="13"/>
  <c r="H3" i="12"/>
  <c r="D28"/>
  <c r="H22" i="13" l="1"/>
  <c r="D22" i="14"/>
  <c r="H22" s="1"/>
  <c r="H27" i="13"/>
  <c r="D27" i="14"/>
  <c r="H27" s="1"/>
  <c r="F28"/>
  <c r="F30"/>
  <c r="H14" i="13"/>
  <c r="D14" i="14"/>
  <c r="H14" s="1"/>
  <c r="H13"/>
  <c r="D30"/>
  <c r="H26" i="12"/>
  <c r="D26" i="13"/>
  <c r="D23"/>
  <c r="D23" i="14" s="1"/>
  <c r="H23" i="12"/>
  <c r="H33" s="1"/>
  <c r="D33"/>
  <c r="F28" i="13"/>
  <c r="F30"/>
  <c r="H13"/>
  <c r="H30" s="1"/>
  <c r="D30"/>
  <c r="D33"/>
  <c r="H3"/>
  <c r="D32" i="14" l="1"/>
  <c r="H23"/>
  <c r="H32" s="1"/>
  <c r="H26" i="13"/>
  <c r="D26" i="14"/>
  <c r="H30"/>
  <c r="D28" i="13"/>
  <c r="H28" i="12"/>
  <c r="H23" i="13"/>
  <c r="H32" s="1"/>
  <c r="D32"/>
  <c r="H33"/>
  <c r="H26" i="14" l="1"/>
  <c r="H28" s="1"/>
  <c r="D28"/>
  <c r="H28" i="13"/>
</calcChain>
</file>

<file path=xl/sharedStrings.xml><?xml version="1.0" encoding="utf-8"?>
<sst xmlns="http://schemas.openxmlformats.org/spreadsheetml/2006/main" count="272" uniqueCount="61">
  <si>
    <t>п/п</t>
  </si>
  <si>
    <t>Виды услуг</t>
  </si>
  <si>
    <t>нач. за месяц</t>
  </si>
  <si>
    <t>нач. с нач. года</t>
  </si>
  <si>
    <t>упл. жильц.за мес.</t>
  </si>
  <si>
    <t>упл.ж. с нач года</t>
  </si>
  <si>
    <t>разн. за мес.</t>
  </si>
  <si>
    <t>разн. с нач. отч. пер.</t>
  </si>
  <si>
    <t>выст. за мес.</t>
  </si>
  <si>
    <t xml:space="preserve">выст.с нач.года </t>
  </si>
  <si>
    <t>упл. Рел. в мес.</t>
  </si>
  <si>
    <t>Упл. с нач. года</t>
  </si>
  <si>
    <t>итого</t>
  </si>
  <si>
    <t>Отопление</t>
  </si>
  <si>
    <t>Горячее водоснабжение</t>
  </si>
  <si>
    <t>Газ</t>
  </si>
  <si>
    <t>Холодная вода</t>
  </si>
  <si>
    <t>Разница</t>
  </si>
  <si>
    <t xml:space="preserve">Разница </t>
  </si>
  <si>
    <t>разница</t>
  </si>
  <si>
    <t>Содержание общ.имущ.дома</t>
  </si>
  <si>
    <t>Со.и ремонт АППЗ</t>
  </si>
  <si>
    <t>Сод.и ремонт лифтов</t>
  </si>
  <si>
    <t>Очистка мусоропроводов</t>
  </si>
  <si>
    <t>Уборка и сан.очистка зем.уч.</t>
  </si>
  <si>
    <t>Электроснабжение (инд.потр)</t>
  </si>
  <si>
    <t>Канализирование х. воды</t>
  </si>
  <si>
    <t>Канализирование г. воды</t>
  </si>
  <si>
    <t>Тек.рем.общ.имущ.дома</t>
  </si>
  <si>
    <t>Сод.и тек.рем.в/дом.газосн.</t>
  </si>
  <si>
    <t>Управление многокв.домом</t>
  </si>
  <si>
    <t>Водоотведение (кв)</t>
  </si>
  <si>
    <t>Электроснабж.на общед.нужды</t>
  </si>
  <si>
    <t>Эксплуатация общед. ПУ</t>
  </si>
  <si>
    <t>Хол.водоснабж.(о/д нужды)</t>
  </si>
  <si>
    <t>Водоотведение(о/д нужды)</t>
  </si>
  <si>
    <t>Отопление (о/д нужды)</t>
  </si>
  <si>
    <t>Электроснабжение (общед.н)</t>
  </si>
  <si>
    <t>Гор.водоснабж.(о/д нужды)</t>
  </si>
  <si>
    <t>форма 22</t>
  </si>
  <si>
    <t>Капитальный ремонт</t>
  </si>
  <si>
    <t>Уборка лестн. Кл</t>
  </si>
  <si>
    <t>Водоканал</t>
  </si>
  <si>
    <t>ПСК</t>
  </si>
  <si>
    <t>ГУПТЭК</t>
  </si>
  <si>
    <t>повыш.коэф.к коммм.</t>
  </si>
  <si>
    <t>Повышающий коэф.к комм.</t>
  </si>
  <si>
    <t>Повышающий коэф. к комм.</t>
  </si>
  <si>
    <t>ИТОГОВАЯ  за Январь 2018г.</t>
  </si>
  <si>
    <t>ИТОГОВАЯ  за Февраль 2018г</t>
  </si>
  <si>
    <t>ИТОГОВАЯ   за  Март 2018г</t>
  </si>
  <si>
    <t xml:space="preserve">Итоговая за  Апрель 2018 г.  </t>
  </si>
  <si>
    <t>Итоговая  за Май  2018 г.</t>
  </si>
  <si>
    <t xml:space="preserve">Итоговая за Июнь 2018 г.  </t>
  </si>
  <si>
    <t xml:space="preserve">Итоговая за Июль 2018 г.  </t>
  </si>
  <si>
    <t xml:space="preserve">Итоговая  за Август 2018 г. </t>
  </si>
  <si>
    <t xml:space="preserve">Итоговая за  СЕНТЯБРЬ 2018 г.  </t>
  </si>
  <si>
    <t>ИТОГОВАЯ   за ОКТЯБРЬ 2018</t>
  </si>
  <si>
    <t>ИТОГОВАЯ за НОЯБРЬ  2018</t>
  </si>
  <si>
    <t xml:space="preserve">ИТОГОВАЯ за ДЕКАБРЬ  2018 </t>
  </si>
  <si>
    <t xml:space="preserve">ИТОГОВАЯ   за   ЯНВАРЬ  2019г. 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</si>
</sst>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_ ;[Red]\-0.00\ "/>
    <numFmt numFmtId="166" formatCode="0.0"/>
    <numFmt numFmtId="167" formatCode="#,##0.00\ _₽"/>
  </numFmts>
  <fonts count="10">
    <font>
      <sz val="10"/>
      <name val="Arial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sz val="10"/>
      <name val="Cambria"/>
      <family val="1"/>
      <charset val="204"/>
    </font>
    <font>
      <b/>
      <sz val="10"/>
      <name val="Cambria"/>
      <family val="1"/>
      <charset val="204"/>
    </font>
    <font>
      <sz val="10"/>
      <name val="Candara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2" fontId="0" fillId="0" borderId="1" xfId="0" applyNumberFormat="1" applyBorder="1" applyAlignment="1">
      <alignment horizontal="center" shrinkToFit="1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1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ill="1"/>
    <xf numFmtId="165" fontId="0" fillId="0" borderId="1" xfId="0" applyNumberFormat="1" applyFill="1" applyBorder="1"/>
    <xf numFmtId="0" fontId="1" fillId="0" borderId="1" xfId="0" applyFont="1" applyBorder="1"/>
    <xf numFmtId="17" fontId="0" fillId="0" borderId="0" xfId="0" applyNumberFormat="1"/>
    <xf numFmtId="165" fontId="0" fillId="2" borderId="1" xfId="0" applyNumberForma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0" fillId="2" borderId="1" xfId="0" applyNumberFormat="1" applyFill="1" applyBorder="1"/>
    <xf numFmtId="165" fontId="1" fillId="2" borderId="1" xfId="0" applyNumberFormat="1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 shrinkToFit="1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 shrinkToFi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 shrinkToFit="1"/>
    </xf>
    <xf numFmtId="49" fontId="0" fillId="0" borderId="1" xfId="0" applyNumberFormat="1" applyBorder="1" applyAlignment="1">
      <alignment horizontal="center" wrapText="1" shrinkToFit="1"/>
    </xf>
    <xf numFmtId="0" fontId="0" fillId="2" borderId="1" xfId="0" applyFill="1" applyBorder="1" applyAlignment="1">
      <alignment horizontal="center" wrapText="1" shrinkToFit="1"/>
    </xf>
    <xf numFmtId="0" fontId="0" fillId="0" borderId="1" xfId="0" applyBorder="1" applyAlignment="1">
      <alignment wrapText="1" shrinkToFit="1"/>
    </xf>
    <xf numFmtId="0" fontId="0" fillId="2" borderId="1" xfId="0" applyFill="1" applyBorder="1" applyAlignment="1">
      <alignment wrapText="1" shrinkToFit="1"/>
    </xf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 shrinkToFi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165" fontId="0" fillId="0" borderId="0" xfId="0" applyNumberFormat="1"/>
    <xf numFmtId="0" fontId="0" fillId="0" borderId="1" xfId="0" applyBorder="1" applyAlignment="1">
      <alignment horizontal="center"/>
    </xf>
    <xf numFmtId="0" fontId="7" fillId="0" borderId="0" xfId="0" applyFont="1"/>
    <xf numFmtId="0" fontId="0" fillId="3" borderId="1" xfId="0" applyFill="1" applyBorder="1"/>
    <xf numFmtId="165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165" fontId="8" fillId="0" borderId="1" xfId="0" applyNumberFormat="1" applyFont="1" applyBorder="1"/>
    <xf numFmtId="2" fontId="5" fillId="0" borderId="1" xfId="0" applyNumberFormat="1" applyFont="1" applyBorder="1" applyAlignment="1">
      <alignment horizontal="center" vertical="center" wrapText="1" shrinkToFit="1"/>
    </xf>
    <xf numFmtId="165" fontId="8" fillId="0" borderId="1" xfId="0" applyNumberFormat="1" applyFont="1" applyBorder="1" applyAlignment="1">
      <alignment horizontal="center"/>
    </xf>
    <xf numFmtId="0" fontId="8" fillId="0" borderId="0" xfId="0" applyFont="1"/>
    <xf numFmtId="164" fontId="1" fillId="0" borderId="0" xfId="0" applyNumberFormat="1" applyFont="1"/>
    <xf numFmtId="164" fontId="0" fillId="0" borderId="0" xfId="0" applyNumberFormat="1"/>
    <xf numFmtId="0" fontId="0" fillId="2" borderId="1" xfId="0" applyNumberForma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/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0" borderId="0" xfId="1" applyFont="1"/>
    <xf numFmtId="164" fontId="0" fillId="2" borderId="1" xfId="1" applyFont="1" applyFill="1" applyBorder="1" applyAlignment="1">
      <alignment horizontal="center"/>
    </xf>
    <xf numFmtId="164" fontId="1" fillId="0" borderId="0" xfId="1" applyFont="1"/>
    <xf numFmtId="164" fontId="0" fillId="0" borderId="0" xfId="1" applyFont="1" applyFill="1"/>
    <xf numFmtId="165" fontId="0" fillId="3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167" fontId="0" fillId="0" borderId="1" xfId="0" applyNumberFormat="1" applyFill="1" applyBorder="1"/>
    <xf numFmtId="167" fontId="0" fillId="2" borderId="1" xfId="0" applyNumberFormat="1" applyFill="1" applyBorder="1" applyAlignment="1">
      <alignment horizontal="center"/>
    </xf>
    <xf numFmtId="167" fontId="0" fillId="2" borderId="1" xfId="0" applyNumberFormat="1" applyFill="1" applyBorder="1"/>
    <xf numFmtId="167" fontId="1" fillId="2" borderId="1" xfId="0" applyNumberFormat="1" applyFont="1" applyFill="1" applyBorder="1" applyAlignment="1">
      <alignment horizontal="center"/>
    </xf>
    <xf numFmtId="167" fontId="1" fillId="2" borderId="1" xfId="0" applyNumberFormat="1" applyFont="1" applyFill="1" applyBorder="1"/>
    <xf numFmtId="167" fontId="0" fillId="0" borderId="0" xfId="0" applyNumberFormat="1"/>
    <xf numFmtId="167" fontId="0" fillId="0" borderId="0" xfId="0" applyNumberFormat="1" applyFill="1"/>
    <xf numFmtId="167" fontId="0" fillId="3" borderId="1" xfId="0" applyNumberFormat="1" applyFill="1" applyBorder="1"/>
    <xf numFmtId="167" fontId="0" fillId="0" borderId="0" xfId="1" applyNumberFormat="1" applyFont="1"/>
    <xf numFmtId="167" fontId="0" fillId="0" borderId="0" xfId="1" applyNumberFormat="1" applyFont="1" applyFill="1"/>
    <xf numFmtId="167" fontId="1" fillId="0" borderId="0" xfId="1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M36"/>
  <sheetViews>
    <sheetView topLeftCell="A7" workbookViewId="0">
      <selection activeCell="B19" sqref="B19"/>
    </sheetView>
  </sheetViews>
  <sheetFormatPr defaultRowHeight="12.75"/>
  <cols>
    <col min="1" max="1" width="4" customWidth="1"/>
    <col min="2" max="2" width="34.7109375" customWidth="1"/>
    <col min="3" max="3" width="11.28515625" customWidth="1"/>
    <col min="4" max="4" width="12.42578125" customWidth="1"/>
    <col min="5" max="5" width="12" customWidth="1"/>
    <col min="6" max="6" width="12.7109375" customWidth="1"/>
    <col min="7" max="7" width="11.7109375" customWidth="1"/>
    <col min="8" max="8" width="15.42578125" customWidth="1"/>
    <col min="9" max="9" width="9.42578125" customWidth="1"/>
    <col min="10" max="10" width="11.140625" customWidth="1"/>
    <col min="11" max="11" width="9" customWidth="1"/>
    <col min="12" max="12" width="10.85546875" customWidth="1"/>
  </cols>
  <sheetData>
    <row r="1" spans="1:13" ht="26.25" customHeight="1">
      <c r="B1" s="56" t="s">
        <v>48</v>
      </c>
    </row>
    <row r="2" spans="1:13" s="33" customFormat="1" ht="38.25">
      <c r="A2" s="28" t="s">
        <v>0</v>
      </c>
      <c r="B2" s="29" t="s">
        <v>1</v>
      </c>
      <c r="C2" s="30" t="s">
        <v>2</v>
      </c>
      <c r="D2" s="31" t="s">
        <v>3</v>
      </c>
      <c r="E2" s="29" t="s">
        <v>4</v>
      </c>
      <c r="F2" s="31" t="s">
        <v>5</v>
      </c>
      <c r="G2" s="31" t="s">
        <v>6</v>
      </c>
      <c r="H2" s="31" t="s">
        <v>7</v>
      </c>
      <c r="I2" s="29" t="s">
        <v>8</v>
      </c>
      <c r="J2" s="31" t="s">
        <v>9</v>
      </c>
      <c r="K2" s="29" t="s">
        <v>10</v>
      </c>
      <c r="L2" s="31" t="s">
        <v>11</v>
      </c>
      <c r="M2" s="32" t="s">
        <v>17</v>
      </c>
    </row>
    <row r="3" spans="1:13">
      <c r="A3" s="1">
        <v>1</v>
      </c>
      <c r="B3" s="34" t="s">
        <v>20</v>
      </c>
      <c r="C3" s="3">
        <f>287224.2+64590.3</f>
        <v>351814.5</v>
      </c>
      <c r="D3" s="12">
        <f>C3</f>
        <v>351814.5</v>
      </c>
      <c r="E3" s="4">
        <f>233436.59+50486.71</f>
        <v>283923.3</v>
      </c>
      <c r="F3" s="12">
        <f>E3</f>
        <v>283923.3</v>
      </c>
      <c r="G3" s="12">
        <f>E3-C3</f>
        <v>-67891.200000000012</v>
      </c>
      <c r="H3" s="14">
        <f>F3-D3</f>
        <v>-67891.200000000012</v>
      </c>
      <c r="I3" s="4"/>
      <c r="J3" s="14">
        <f>I3</f>
        <v>0</v>
      </c>
      <c r="K3" s="3"/>
      <c r="L3" s="12">
        <f>K3</f>
        <v>0</v>
      </c>
      <c r="M3" s="14">
        <f>J3-L3</f>
        <v>0</v>
      </c>
    </row>
    <row r="4" spans="1:13">
      <c r="A4" s="1">
        <f>A3+1</f>
        <v>2</v>
      </c>
      <c r="B4" s="34" t="s">
        <v>13</v>
      </c>
      <c r="C4" s="3">
        <f>1083849.15+247959.49</f>
        <v>1331808.6399999999</v>
      </c>
      <c r="D4" s="12">
        <f t="shared" ref="D4:D27" si="0">C4</f>
        <v>1331808.6399999999</v>
      </c>
      <c r="E4" s="4">
        <f>731898.47+146947.92</f>
        <v>878846.39</v>
      </c>
      <c r="F4" s="12">
        <f t="shared" ref="F4:F27" si="1">E4</f>
        <v>878846.39</v>
      </c>
      <c r="G4" s="12">
        <f t="shared" ref="G4:G27" si="2">E4-C4</f>
        <v>-452962.24999999988</v>
      </c>
      <c r="H4" s="14">
        <f t="shared" ref="H4:H27" si="3">F4-D4</f>
        <v>-452962.24999999988</v>
      </c>
      <c r="I4" s="4"/>
      <c r="J4" s="14">
        <f t="shared" ref="J4:J27" si="4">I4</f>
        <v>0</v>
      </c>
      <c r="K4" s="3"/>
      <c r="L4" s="12">
        <f t="shared" ref="L4:L27" si="5">K4</f>
        <v>0</v>
      </c>
      <c r="M4" s="14">
        <f t="shared" ref="M4:M27" si="6">J4-L4</f>
        <v>0</v>
      </c>
    </row>
    <row r="5" spans="1:13">
      <c r="A5" s="1">
        <f t="shared" ref="A5:A27" si="7">A4+1</f>
        <v>3</v>
      </c>
      <c r="B5" s="34" t="s">
        <v>14</v>
      </c>
      <c r="C5" s="3">
        <f>416438.57+113861.71</f>
        <v>530300.28</v>
      </c>
      <c r="D5" s="12">
        <f t="shared" si="0"/>
        <v>530300.28</v>
      </c>
      <c r="E5" s="4">
        <f>362687.18+82787.31</f>
        <v>445474.49</v>
      </c>
      <c r="F5" s="12">
        <f t="shared" si="1"/>
        <v>445474.49</v>
      </c>
      <c r="G5" s="12">
        <f t="shared" si="2"/>
        <v>-84825.790000000037</v>
      </c>
      <c r="H5" s="14">
        <f t="shared" si="3"/>
        <v>-84825.790000000037</v>
      </c>
      <c r="I5" s="4"/>
      <c r="J5" s="14">
        <f t="shared" si="4"/>
        <v>0</v>
      </c>
      <c r="K5" s="3"/>
      <c r="L5" s="12">
        <f t="shared" si="5"/>
        <v>0</v>
      </c>
      <c r="M5" s="14">
        <f t="shared" si="6"/>
        <v>0</v>
      </c>
    </row>
    <row r="6" spans="1:13">
      <c r="A6" s="1">
        <f t="shared" si="7"/>
        <v>4</v>
      </c>
      <c r="B6" s="34" t="s">
        <v>15</v>
      </c>
      <c r="C6" s="3">
        <f>7919.79+10266.17</f>
        <v>18185.96</v>
      </c>
      <c r="D6" s="12">
        <f t="shared" si="0"/>
        <v>18185.96</v>
      </c>
      <c r="E6" s="4">
        <f>6004.05+8369.2</f>
        <v>14373.25</v>
      </c>
      <c r="F6" s="12">
        <f t="shared" si="1"/>
        <v>14373.25</v>
      </c>
      <c r="G6" s="12">
        <f t="shared" si="2"/>
        <v>-3812.7099999999991</v>
      </c>
      <c r="H6" s="14">
        <f t="shared" si="3"/>
        <v>-3812.7099999999991</v>
      </c>
      <c r="I6" s="4"/>
      <c r="J6" s="14">
        <f t="shared" si="4"/>
        <v>0</v>
      </c>
      <c r="K6" s="3"/>
      <c r="L6" s="12">
        <f t="shared" si="5"/>
        <v>0</v>
      </c>
      <c r="M6" s="14">
        <f t="shared" si="6"/>
        <v>0</v>
      </c>
    </row>
    <row r="7" spans="1:13">
      <c r="A7" s="1">
        <f t="shared" si="7"/>
        <v>5</v>
      </c>
      <c r="B7" s="34" t="s">
        <v>21</v>
      </c>
      <c r="C7" s="3">
        <f>4583.51+558.55</f>
        <v>5142.0600000000004</v>
      </c>
      <c r="D7" s="12">
        <f t="shared" si="0"/>
        <v>5142.0600000000004</v>
      </c>
      <c r="E7" s="4">
        <f>3549.12+528.61</f>
        <v>4077.73</v>
      </c>
      <c r="F7" s="12">
        <f t="shared" si="1"/>
        <v>4077.73</v>
      </c>
      <c r="G7" s="12">
        <f t="shared" si="2"/>
        <v>-1064.3300000000004</v>
      </c>
      <c r="H7" s="14">
        <f t="shared" si="3"/>
        <v>-1064.3300000000004</v>
      </c>
      <c r="I7" s="4"/>
      <c r="J7" s="14">
        <f t="shared" si="4"/>
        <v>0</v>
      </c>
      <c r="K7" s="3"/>
      <c r="L7" s="12">
        <f t="shared" si="5"/>
        <v>0</v>
      </c>
      <c r="M7" s="14">
        <f t="shared" si="6"/>
        <v>0</v>
      </c>
    </row>
    <row r="8" spans="1:13">
      <c r="A8" s="1">
        <f t="shared" si="7"/>
        <v>6</v>
      </c>
      <c r="B8" s="34" t="s">
        <v>22</v>
      </c>
      <c r="C8" s="3">
        <f>32434.65+4016.07</f>
        <v>36450.720000000001</v>
      </c>
      <c r="D8" s="12">
        <f t="shared" si="0"/>
        <v>36450.720000000001</v>
      </c>
      <c r="E8" s="4">
        <f>25256.42+3810.07</f>
        <v>29066.489999999998</v>
      </c>
      <c r="F8" s="12">
        <f t="shared" si="1"/>
        <v>29066.489999999998</v>
      </c>
      <c r="G8" s="12">
        <f t="shared" si="2"/>
        <v>-7384.2300000000032</v>
      </c>
      <c r="H8" s="14">
        <f t="shared" si="3"/>
        <v>-7384.2300000000032</v>
      </c>
      <c r="I8" s="4"/>
      <c r="J8" s="14">
        <f t="shared" si="4"/>
        <v>0</v>
      </c>
      <c r="K8" s="3"/>
      <c r="L8" s="12">
        <f t="shared" si="5"/>
        <v>0</v>
      </c>
      <c r="M8" s="14">
        <f t="shared" si="6"/>
        <v>0</v>
      </c>
    </row>
    <row r="9" spans="1:13">
      <c r="A9" s="1">
        <f t="shared" si="7"/>
        <v>7</v>
      </c>
      <c r="B9" s="34" t="s">
        <v>23</v>
      </c>
      <c r="C9" s="3">
        <f>14435.2+1852.6</f>
        <v>16287.800000000001</v>
      </c>
      <c r="D9" s="12">
        <f t="shared" si="0"/>
        <v>16287.800000000001</v>
      </c>
      <c r="E9" s="4">
        <f>11183.54+1701.5</f>
        <v>12885.04</v>
      </c>
      <c r="F9" s="12">
        <f t="shared" si="1"/>
        <v>12885.04</v>
      </c>
      <c r="G9" s="12">
        <f t="shared" si="2"/>
        <v>-3402.76</v>
      </c>
      <c r="H9" s="14">
        <f t="shared" si="3"/>
        <v>-3402.76</v>
      </c>
      <c r="I9" s="4"/>
      <c r="J9" s="14">
        <f t="shared" si="4"/>
        <v>0</v>
      </c>
      <c r="K9" s="3"/>
      <c r="L9" s="12">
        <f t="shared" si="5"/>
        <v>0</v>
      </c>
      <c r="M9" s="14">
        <f t="shared" si="6"/>
        <v>0</v>
      </c>
    </row>
    <row r="10" spans="1:13">
      <c r="A10" s="1">
        <f t="shared" si="7"/>
        <v>8</v>
      </c>
      <c r="B10" s="34" t="s">
        <v>24</v>
      </c>
      <c r="C10" s="3">
        <f>44201.62+9993.39</f>
        <v>54195.01</v>
      </c>
      <c r="D10" s="12">
        <f t="shared" si="0"/>
        <v>54195.01</v>
      </c>
      <c r="E10" s="4">
        <f>35714.41+7774.08</f>
        <v>43488.490000000005</v>
      </c>
      <c r="F10" s="12">
        <f t="shared" si="1"/>
        <v>43488.490000000005</v>
      </c>
      <c r="G10" s="12">
        <f t="shared" si="2"/>
        <v>-10706.519999999997</v>
      </c>
      <c r="H10" s="14">
        <f t="shared" si="3"/>
        <v>-10706.519999999997</v>
      </c>
      <c r="I10" s="4"/>
      <c r="J10" s="14">
        <f t="shared" si="4"/>
        <v>0</v>
      </c>
      <c r="K10" s="3"/>
      <c r="L10" s="12">
        <f t="shared" si="5"/>
        <v>0</v>
      </c>
      <c r="M10" s="14">
        <f t="shared" si="6"/>
        <v>0</v>
      </c>
    </row>
    <row r="11" spans="1:13">
      <c r="A11" s="1">
        <f t="shared" si="7"/>
        <v>9</v>
      </c>
      <c r="B11" s="34" t="s">
        <v>25</v>
      </c>
      <c r="C11" s="3">
        <f>247398.48+59331.76</f>
        <v>306730.23999999999</v>
      </c>
      <c r="D11" s="12">
        <f t="shared" si="0"/>
        <v>306730.23999999999</v>
      </c>
      <c r="E11" s="4">
        <f>212207.82+47962.35</f>
        <v>260170.17</v>
      </c>
      <c r="F11" s="12">
        <f t="shared" si="1"/>
        <v>260170.17</v>
      </c>
      <c r="G11" s="12">
        <f t="shared" si="2"/>
        <v>-46560.069999999978</v>
      </c>
      <c r="H11" s="14">
        <f t="shared" si="3"/>
        <v>-46560.069999999978</v>
      </c>
      <c r="I11" s="4"/>
      <c r="J11" s="14">
        <f t="shared" si="4"/>
        <v>0</v>
      </c>
      <c r="K11" s="3"/>
      <c r="L11" s="12">
        <f t="shared" si="5"/>
        <v>0</v>
      </c>
      <c r="M11" s="14">
        <f t="shared" si="6"/>
        <v>0</v>
      </c>
    </row>
    <row r="12" spans="1:13">
      <c r="A12" s="1">
        <f t="shared" si="7"/>
        <v>10</v>
      </c>
      <c r="B12" s="34" t="s">
        <v>16</v>
      </c>
      <c r="C12" s="3">
        <f>194525.64+61417.81</f>
        <v>255943.45</v>
      </c>
      <c r="D12" s="12">
        <f t="shared" si="0"/>
        <v>255943.45</v>
      </c>
      <c r="E12" s="4">
        <f>171531.77+45803.93</f>
        <v>217335.69999999998</v>
      </c>
      <c r="F12" s="12">
        <f t="shared" si="1"/>
        <v>217335.69999999998</v>
      </c>
      <c r="G12" s="12">
        <f t="shared" si="2"/>
        <v>-38607.750000000029</v>
      </c>
      <c r="H12" s="14">
        <f t="shared" si="3"/>
        <v>-38607.750000000029</v>
      </c>
      <c r="I12" s="4"/>
      <c r="J12" s="14">
        <f t="shared" si="4"/>
        <v>0</v>
      </c>
      <c r="K12" s="3"/>
      <c r="L12" s="12">
        <f t="shared" si="5"/>
        <v>0</v>
      </c>
      <c r="M12" s="14">
        <f t="shared" si="6"/>
        <v>0</v>
      </c>
    </row>
    <row r="13" spans="1:13">
      <c r="A13" s="1">
        <f t="shared" si="7"/>
        <v>11</v>
      </c>
      <c r="B13" s="34" t="s">
        <v>26</v>
      </c>
      <c r="C13" s="3">
        <v>0</v>
      </c>
      <c r="D13" s="12">
        <f t="shared" si="0"/>
        <v>0</v>
      </c>
      <c r="E13" s="4">
        <v>0</v>
      </c>
      <c r="F13" s="12">
        <f t="shared" si="1"/>
        <v>0</v>
      </c>
      <c r="G13" s="12">
        <f t="shared" si="2"/>
        <v>0</v>
      </c>
      <c r="H13" s="14">
        <f t="shared" si="3"/>
        <v>0</v>
      </c>
      <c r="I13" s="4"/>
      <c r="J13" s="14">
        <f t="shared" si="4"/>
        <v>0</v>
      </c>
      <c r="K13" s="3"/>
      <c r="L13" s="12">
        <f t="shared" si="5"/>
        <v>0</v>
      </c>
      <c r="M13" s="14">
        <f t="shared" si="6"/>
        <v>0</v>
      </c>
    </row>
    <row r="14" spans="1:13">
      <c r="A14" s="1">
        <f t="shared" si="7"/>
        <v>12</v>
      </c>
      <c r="B14" s="34" t="s">
        <v>27</v>
      </c>
      <c r="C14" s="3">
        <v>0</v>
      </c>
      <c r="D14" s="12">
        <f t="shared" si="0"/>
        <v>0</v>
      </c>
      <c r="E14" s="4">
        <v>0</v>
      </c>
      <c r="F14" s="12">
        <f t="shared" si="1"/>
        <v>0</v>
      </c>
      <c r="G14" s="12">
        <f t="shared" si="2"/>
        <v>0</v>
      </c>
      <c r="H14" s="14">
        <f t="shared" si="3"/>
        <v>0</v>
      </c>
      <c r="I14" s="4"/>
      <c r="J14" s="14">
        <f t="shared" si="4"/>
        <v>0</v>
      </c>
      <c r="K14" s="3"/>
      <c r="L14" s="12">
        <f t="shared" si="5"/>
        <v>0</v>
      </c>
      <c r="M14" s="14">
        <f t="shared" si="6"/>
        <v>0</v>
      </c>
    </row>
    <row r="15" spans="1:13">
      <c r="A15" s="1">
        <f t="shared" si="7"/>
        <v>13</v>
      </c>
      <c r="B15" s="34" t="s">
        <v>28</v>
      </c>
      <c r="C15" s="3">
        <f>150000.5+33621.87</f>
        <v>183622.37</v>
      </c>
      <c r="D15" s="12">
        <f t="shared" si="0"/>
        <v>183622.37</v>
      </c>
      <c r="E15" s="4">
        <f>122901.42+26617.68</f>
        <v>149519.1</v>
      </c>
      <c r="F15" s="12">
        <f t="shared" si="1"/>
        <v>149519.1</v>
      </c>
      <c r="G15" s="12">
        <f t="shared" si="2"/>
        <v>-34103.26999999999</v>
      </c>
      <c r="H15" s="14">
        <f t="shared" si="3"/>
        <v>-34103.26999999999</v>
      </c>
      <c r="I15" s="4"/>
      <c r="J15" s="14">
        <f t="shared" si="4"/>
        <v>0</v>
      </c>
      <c r="K15" s="3"/>
      <c r="L15" s="12">
        <f t="shared" si="5"/>
        <v>0</v>
      </c>
      <c r="M15" s="14">
        <f t="shared" si="6"/>
        <v>0</v>
      </c>
    </row>
    <row r="16" spans="1:13">
      <c r="A16" s="1">
        <f t="shared" si="7"/>
        <v>14</v>
      </c>
      <c r="B16" s="34" t="s">
        <v>29</v>
      </c>
      <c r="C16" s="3">
        <f>9021.44+2424.63</f>
        <v>11446.07</v>
      </c>
      <c r="D16" s="12">
        <f t="shared" si="0"/>
        <v>11446.07</v>
      </c>
      <c r="E16" s="4">
        <f>7664.05+1877.77</f>
        <v>9541.82</v>
      </c>
      <c r="F16" s="12">
        <f t="shared" si="1"/>
        <v>9541.82</v>
      </c>
      <c r="G16" s="12">
        <f t="shared" si="2"/>
        <v>-1904.25</v>
      </c>
      <c r="H16" s="14">
        <f t="shared" si="3"/>
        <v>-1904.25</v>
      </c>
      <c r="I16" s="4"/>
      <c r="J16" s="14">
        <f t="shared" si="4"/>
        <v>0</v>
      </c>
      <c r="K16" s="3"/>
      <c r="L16" s="12">
        <f t="shared" si="5"/>
        <v>0</v>
      </c>
      <c r="M16" s="14">
        <f t="shared" si="6"/>
        <v>0</v>
      </c>
    </row>
    <row r="17" spans="1:13">
      <c r="A17" s="1">
        <f t="shared" si="7"/>
        <v>15</v>
      </c>
      <c r="B17" s="34" t="s">
        <v>30</v>
      </c>
      <c r="C17" s="3">
        <f>61889.34+14194.04</f>
        <v>76083.38</v>
      </c>
      <c r="D17" s="12">
        <f t="shared" si="0"/>
        <v>76083.38</v>
      </c>
      <c r="E17" s="4">
        <f>49560.74+10610.15</f>
        <v>60170.89</v>
      </c>
      <c r="F17" s="12">
        <f t="shared" si="1"/>
        <v>60170.89</v>
      </c>
      <c r="G17" s="12">
        <f t="shared" si="2"/>
        <v>-15912.490000000005</v>
      </c>
      <c r="H17" s="14">
        <f t="shared" si="3"/>
        <v>-15912.490000000005</v>
      </c>
      <c r="I17" s="4"/>
      <c r="J17" s="14">
        <f t="shared" si="4"/>
        <v>0</v>
      </c>
      <c r="K17" s="3"/>
      <c r="L17" s="12">
        <f t="shared" si="5"/>
        <v>0</v>
      </c>
      <c r="M17" s="14">
        <f t="shared" si="6"/>
        <v>0</v>
      </c>
    </row>
    <row r="18" spans="1:13">
      <c r="A18" s="1">
        <f t="shared" si="7"/>
        <v>16</v>
      </c>
      <c r="B18" s="34" t="s">
        <v>31</v>
      </c>
      <c r="C18" s="3">
        <f>310213.11+92820.26</f>
        <v>403033.37</v>
      </c>
      <c r="D18" s="12">
        <f t="shared" si="0"/>
        <v>403033.37</v>
      </c>
      <c r="E18" s="4">
        <f>273931.24+70690.32</f>
        <v>344621.56</v>
      </c>
      <c r="F18" s="12">
        <f t="shared" si="1"/>
        <v>344621.56</v>
      </c>
      <c r="G18" s="12">
        <f t="shared" si="2"/>
        <v>-58411.81</v>
      </c>
      <c r="H18" s="14">
        <f t="shared" si="3"/>
        <v>-58411.81</v>
      </c>
      <c r="I18" s="4"/>
      <c r="J18" s="14">
        <f t="shared" si="4"/>
        <v>0</v>
      </c>
      <c r="K18" s="3"/>
      <c r="L18" s="12">
        <f t="shared" si="5"/>
        <v>0</v>
      </c>
      <c r="M18" s="14">
        <f t="shared" si="6"/>
        <v>0</v>
      </c>
    </row>
    <row r="19" spans="1:13" ht="14.25" customHeight="1">
      <c r="A19" s="1">
        <f t="shared" si="7"/>
        <v>17</v>
      </c>
      <c r="B19" s="34" t="s">
        <v>32</v>
      </c>
      <c r="C19" s="3">
        <f>5330.52+1186.14</f>
        <v>6516.6600000000008</v>
      </c>
      <c r="D19" s="12">
        <f t="shared" si="0"/>
        <v>6516.6600000000008</v>
      </c>
      <c r="E19" s="4">
        <f>4483.21+899.2</f>
        <v>5382.41</v>
      </c>
      <c r="F19" s="12">
        <f t="shared" si="1"/>
        <v>5382.41</v>
      </c>
      <c r="G19" s="12">
        <f t="shared" si="2"/>
        <v>-1134.2500000000009</v>
      </c>
      <c r="H19" s="14">
        <f t="shared" si="3"/>
        <v>-1134.2500000000009</v>
      </c>
      <c r="I19" s="4"/>
      <c r="J19" s="14">
        <f t="shared" si="4"/>
        <v>0</v>
      </c>
      <c r="K19" s="3"/>
      <c r="L19" s="12">
        <f t="shared" si="5"/>
        <v>0</v>
      </c>
      <c r="M19" s="14">
        <f t="shared" si="6"/>
        <v>0</v>
      </c>
    </row>
    <row r="20" spans="1:13">
      <c r="A20" s="1">
        <f t="shared" si="7"/>
        <v>18</v>
      </c>
      <c r="B20" s="34" t="s">
        <v>33</v>
      </c>
      <c r="C20" s="3">
        <f>13904.77+2607.56</f>
        <v>16512.330000000002</v>
      </c>
      <c r="D20" s="12">
        <f t="shared" si="0"/>
        <v>16512.330000000002</v>
      </c>
      <c r="E20" s="4">
        <f>11307.66+2117.54</f>
        <v>13425.2</v>
      </c>
      <c r="F20" s="12">
        <f t="shared" si="1"/>
        <v>13425.2</v>
      </c>
      <c r="G20" s="12">
        <f t="shared" si="2"/>
        <v>-3087.130000000001</v>
      </c>
      <c r="H20" s="14">
        <f t="shared" si="3"/>
        <v>-3087.130000000001</v>
      </c>
      <c r="I20" s="4"/>
      <c r="J20" s="14">
        <f t="shared" si="4"/>
        <v>0</v>
      </c>
      <c r="K20" s="3"/>
      <c r="L20" s="12">
        <f t="shared" si="5"/>
        <v>0</v>
      </c>
      <c r="M20" s="14">
        <f t="shared" si="6"/>
        <v>0</v>
      </c>
    </row>
    <row r="21" spans="1:13">
      <c r="A21" s="1">
        <f t="shared" si="7"/>
        <v>19</v>
      </c>
      <c r="B21" s="34" t="s">
        <v>34</v>
      </c>
      <c r="C21" s="3">
        <f>5290.66+631.71</f>
        <v>5922.37</v>
      </c>
      <c r="D21" s="12">
        <f t="shared" si="0"/>
        <v>5922.37</v>
      </c>
      <c r="E21" s="4">
        <f>4362.56+912.67</f>
        <v>5275.2300000000005</v>
      </c>
      <c r="F21" s="12">
        <f t="shared" si="1"/>
        <v>5275.2300000000005</v>
      </c>
      <c r="G21" s="12">
        <f t="shared" si="2"/>
        <v>-647.13999999999942</v>
      </c>
      <c r="H21" s="14">
        <f t="shared" si="3"/>
        <v>-647.13999999999942</v>
      </c>
      <c r="I21" s="4"/>
      <c r="J21" s="14">
        <f t="shared" si="4"/>
        <v>0</v>
      </c>
      <c r="K21" s="3"/>
      <c r="L21" s="12">
        <f t="shared" si="5"/>
        <v>0</v>
      </c>
      <c r="M21" s="14">
        <f t="shared" si="6"/>
        <v>0</v>
      </c>
    </row>
    <row r="22" spans="1:13">
      <c r="A22" s="1">
        <f t="shared" si="7"/>
        <v>20</v>
      </c>
      <c r="B22" s="34" t="s">
        <v>35</v>
      </c>
      <c r="C22" s="3">
        <v>0</v>
      </c>
      <c r="D22" s="12">
        <f t="shared" si="0"/>
        <v>0</v>
      </c>
      <c r="E22" s="4">
        <v>-142.84</v>
      </c>
      <c r="F22" s="12">
        <f t="shared" si="1"/>
        <v>-142.84</v>
      </c>
      <c r="G22" s="12">
        <f t="shared" si="2"/>
        <v>-142.84</v>
      </c>
      <c r="H22" s="14">
        <f t="shared" si="3"/>
        <v>-142.84</v>
      </c>
      <c r="I22" s="4"/>
      <c r="J22" s="14">
        <f t="shared" si="4"/>
        <v>0</v>
      </c>
      <c r="K22" s="3"/>
      <c r="L22" s="12">
        <f t="shared" si="5"/>
        <v>0</v>
      </c>
      <c r="M22" s="14">
        <f t="shared" si="6"/>
        <v>0</v>
      </c>
    </row>
    <row r="23" spans="1:13">
      <c r="A23" s="1">
        <f t="shared" si="7"/>
        <v>21</v>
      </c>
      <c r="B23" s="34" t="s">
        <v>36</v>
      </c>
      <c r="C23" s="3">
        <v>0</v>
      </c>
      <c r="D23" s="12">
        <f t="shared" si="0"/>
        <v>0</v>
      </c>
      <c r="E23" s="4">
        <v>245.89</v>
      </c>
      <c r="F23" s="12">
        <f t="shared" si="1"/>
        <v>245.89</v>
      </c>
      <c r="G23" s="12">
        <f t="shared" si="2"/>
        <v>245.89</v>
      </c>
      <c r="H23" s="14">
        <f t="shared" si="3"/>
        <v>245.89</v>
      </c>
      <c r="I23" s="4"/>
      <c r="J23" s="14">
        <f t="shared" si="4"/>
        <v>0</v>
      </c>
      <c r="K23" s="3"/>
      <c r="L23" s="12">
        <f t="shared" si="5"/>
        <v>0</v>
      </c>
      <c r="M23" s="14">
        <f t="shared" si="6"/>
        <v>0</v>
      </c>
    </row>
    <row r="24" spans="1:13">
      <c r="A24" s="1">
        <f t="shared" si="7"/>
        <v>22</v>
      </c>
      <c r="B24" s="34" t="s">
        <v>37</v>
      </c>
      <c r="C24" s="3">
        <f>217129.94+40589.18</f>
        <v>257719.12</v>
      </c>
      <c r="D24" s="12">
        <f t="shared" si="0"/>
        <v>257719.12</v>
      </c>
      <c r="E24" s="4">
        <f>179670.89+34308.88</f>
        <v>213979.77000000002</v>
      </c>
      <c r="F24" s="12">
        <f t="shared" si="1"/>
        <v>213979.77000000002</v>
      </c>
      <c r="G24" s="12">
        <f t="shared" si="2"/>
        <v>-43739.349999999977</v>
      </c>
      <c r="H24" s="14">
        <f t="shared" si="3"/>
        <v>-43739.349999999977</v>
      </c>
      <c r="I24" s="4"/>
      <c r="J24" s="14">
        <f t="shared" si="4"/>
        <v>0</v>
      </c>
      <c r="K24" s="3"/>
      <c r="L24" s="12">
        <f t="shared" si="5"/>
        <v>0</v>
      </c>
      <c r="M24" s="14">
        <f t="shared" si="6"/>
        <v>0</v>
      </c>
    </row>
    <row r="25" spans="1:13">
      <c r="A25" s="1">
        <f t="shared" si="7"/>
        <v>23</v>
      </c>
      <c r="B25" s="34" t="s">
        <v>38</v>
      </c>
      <c r="C25" s="3">
        <f>11050.82+1843.55</f>
        <v>12894.369999999999</v>
      </c>
      <c r="D25" s="12">
        <f t="shared" si="0"/>
        <v>12894.369999999999</v>
      </c>
      <c r="E25" s="4">
        <f>8623.24+1543.23</f>
        <v>10166.469999999999</v>
      </c>
      <c r="F25" s="12">
        <f t="shared" si="1"/>
        <v>10166.469999999999</v>
      </c>
      <c r="G25" s="12">
        <f t="shared" si="2"/>
        <v>-2727.8999999999996</v>
      </c>
      <c r="H25" s="14">
        <f t="shared" si="3"/>
        <v>-2727.8999999999996</v>
      </c>
      <c r="I25" s="4"/>
      <c r="J25" s="14">
        <f t="shared" si="4"/>
        <v>0</v>
      </c>
      <c r="K25" s="3"/>
      <c r="L25" s="12">
        <f t="shared" si="5"/>
        <v>0</v>
      </c>
      <c r="M25" s="14">
        <f t="shared" si="6"/>
        <v>0</v>
      </c>
    </row>
    <row r="26" spans="1:13">
      <c r="A26" s="1">
        <f t="shared" si="7"/>
        <v>24</v>
      </c>
      <c r="B26" s="34" t="s">
        <v>40</v>
      </c>
      <c r="C26" s="3">
        <v>0</v>
      </c>
      <c r="D26" s="12">
        <f t="shared" si="0"/>
        <v>0</v>
      </c>
      <c r="E26" s="3">
        <v>0</v>
      </c>
      <c r="F26" s="12">
        <f t="shared" si="1"/>
        <v>0</v>
      </c>
      <c r="G26" s="12">
        <f t="shared" si="2"/>
        <v>0</v>
      </c>
      <c r="H26" s="14">
        <f t="shared" si="3"/>
        <v>0</v>
      </c>
      <c r="I26" s="4">
        <v>0</v>
      </c>
      <c r="J26" s="14">
        <f t="shared" si="4"/>
        <v>0</v>
      </c>
      <c r="K26" s="3">
        <v>0</v>
      </c>
      <c r="L26" s="12">
        <f t="shared" si="5"/>
        <v>0</v>
      </c>
      <c r="M26" s="14">
        <f t="shared" si="6"/>
        <v>0</v>
      </c>
    </row>
    <row r="27" spans="1:13">
      <c r="A27" s="1">
        <f t="shared" si="7"/>
        <v>25</v>
      </c>
      <c r="B27" s="34" t="s">
        <v>47</v>
      </c>
      <c r="C27" s="3">
        <v>4670.8500000000004</v>
      </c>
      <c r="D27" s="12">
        <f t="shared" si="0"/>
        <v>4670.8500000000004</v>
      </c>
      <c r="E27" s="4">
        <v>2749.94</v>
      </c>
      <c r="F27" s="12">
        <f t="shared" si="1"/>
        <v>2749.94</v>
      </c>
      <c r="G27" s="12">
        <f t="shared" si="2"/>
        <v>-1920.9100000000003</v>
      </c>
      <c r="H27" s="14">
        <f t="shared" si="3"/>
        <v>-1920.9100000000003</v>
      </c>
      <c r="I27" s="4"/>
      <c r="J27" s="14">
        <f t="shared" si="4"/>
        <v>0</v>
      </c>
      <c r="K27" s="3"/>
      <c r="L27" s="12">
        <f t="shared" si="5"/>
        <v>0</v>
      </c>
      <c r="M27" s="14">
        <f t="shared" si="6"/>
        <v>0</v>
      </c>
    </row>
    <row r="28" spans="1:13" s="6" customFormat="1">
      <c r="A28" s="16"/>
      <c r="B28" s="17" t="s">
        <v>12</v>
      </c>
      <c r="C28" s="13">
        <f t="shared" ref="C28:L28" si="8">SUM(C3:C27)</f>
        <v>3885279.5500000007</v>
      </c>
      <c r="D28" s="13">
        <f t="shared" si="8"/>
        <v>3885279.5500000007</v>
      </c>
      <c r="E28" s="15">
        <f t="shared" si="8"/>
        <v>3004576.4900000007</v>
      </c>
      <c r="F28" s="13">
        <f t="shared" si="8"/>
        <v>3004576.4900000007</v>
      </c>
      <c r="G28" s="13">
        <f t="shared" si="8"/>
        <v>-880703.05999999994</v>
      </c>
      <c r="H28" s="15">
        <f t="shared" si="8"/>
        <v>-880703.05999999994</v>
      </c>
      <c r="I28" s="15">
        <f t="shared" si="8"/>
        <v>0</v>
      </c>
      <c r="J28" s="15">
        <f t="shared" si="8"/>
        <v>0</v>
      </c>
      <c r="K28" s="13">
        <f t="shared" si="8"/>
        <v>0</v>
      </c>
      <c r="L28" s="13">
        <f t="shared" si="8"/>
        <v>0</v>
      </c>
      <c r="M28" s="15">
        <f>SUM(M3:M27)</f>
        <v>0</v>
      </c>
    </row>
    <row r="30" spans="1:13">
      <c r="B30" s="57" t="s">
        <v>42</v>
      </c>
      <c r="C30" s="58">
        <f>C12+C13+C14+C18+C21+C22</f>
        <v>664899.19000000006</v>
      </c>
      <c r="D30" s="58">
        <f t="shared" ref="D30:L30" si="9">D12+D13+D14+D18+D21+D22</f>
        <v>664899.19000000006</v>
      </c>
      <c r="E30" s="58">
        <f t="shared" si="9"/>
        <v>567089.65</v>
      </c>
      <c r="F30" s="58">
        <f t="shared" si="9"/>
        <v>567089.65</v>
      </c>
      <c r="G30" s="58">
        <f t="shared" si="9"/>
        <v>-97809.540000000023</v>
      </c>
      <c r="H30" s="58">
        <f t="shared" si="9"/>
        <v>-97809.540000000023</v>
      </c>
      <c r="I30" s="58">
        <f t="shared" si="9"/>
        <v>0</v>
      </c>
      <c r="J30" s="58">
        <f t="shared" si="9"/>
        <v>0</v>
      </c>
      <c r="K30" s="58">
        <f t="shared" si="9"/>
        <v>0</v>
      </c>
      <c r="L30" s="58">
        <f t="shared" si="9"/>
        <v>0</v>
      </c>
    </row>
    <row r="31" spans="1:13">
      <c r="B31" s="57" t="s">
        <v>43</v>
      </c>
      <c r="C31" s="58">
        <f t="shared" ref="C31:L31" si="10">C11+C24+C19</f>
        <v>570966.02</v>
      </c>
      <c r="D31" s="58">
        <f t="shared" si="10"/>
        <v>570966.02</v>
      </c>
      <c r="E31" s="58">
        <f t="shared" si="10"/>
        <v>479532.35000000003</v>
      </c>
      <c r="F31" s="58">
        <f t="shared" si="10"/>
        <v>479532.35000000003</v>
      </c>
      <c r="G31" s="58">
        <f t="shared" si="10"/>
        <v>-91433.669999999955</v>
      </c>
      <c r="H31" s="58">
        <f t="shared" si="10"/>
        <v>-91433.669999999955</v>
      </c>
      <c r="I31" s="58">
        <f t="shared" si="10"/>
        <v>0</v>
      </c>
      <c r="J31" s="58">
        <f t="shared" si="10"/>
        <v>0</v>
      </c>
      <c r="K31" s="58">
        <f t="shared" si="10"/>
        <v>0</v>
      </c>
      <c r="L31" s="58">
        <f t="shared" si="10"/>
        <v>0</v>
      </c>
    </row>
    <row r="32" spans="1:13">
      <c r="B32" s="57" t="s">
        <v>44</v>
      </c>
      <c r="C32" s="58">
        <f>C4+C5+C23+C25</f>
        <v>1875003.29</v>
      </c>
      <c r="D32" s="58">
        <f t="shared" ref="D32:L32" si="11">D4+D5+D23+D25</f>
        <v>1875003.29</v>
      </c>
      <c r="E32" s="58">
        <f t="shared" si="11"/>
        <v>1334733.2399999998</v>
      </c>
      <c r="F32" s="58">
        <f t="shared" si="11"/>
        <v>1334733.2399999998</v>
      </c>
      <c r="G32" s="58">
        <f t="shared" si="11"/>
        <v>-540270.04999999993</v>
      </c>
      <c r="H32" s="58">
        <f t="shared" si="11"/>
        <v>-540270.04999999993</v>
      </c>
      <c r="I32" s="58">
        <f t="shared" si="11"/>
        <v>0</v>
      </c>
      <c r="J32" s="58">
        <f t="shared" si="11"/>
        <v>0</v>
      </c>
      <c r="K32" s="58">
        <f t="shared" si="11"/>
        <v>0</v>
      </c>
      <c r="L32" s="58">
        <f t="shared" si="11"/>
        <v>0</v>
      </c>
    </row>
    <row r="33" spans="2:12">
      <c r="B33" s="59" t="s">
        <v>39</v>
      </c>
      <c r="C33" s="58">
        <f t="shared" ref="C33:L33" si="12">C3+C7+C8+C9+C10+C15+C16+C17+C20</f>
        <v>751554.23999999987</v>
      </c>
      <c r="D33" s="58">
        <f t="shared" si="12"/>
        <v>751554.23999999987</v>
      </c>
      <c r="E33" s="58">
        <f t="shared" si="12"/>
        <v>606098.05999999982</v>
      </c>
      <c r="F33" s="58">
        <f t="shared" si="12"/>
        <v>606098.05999999982</v>
      </c>
      <c r="G33" s="58">
        <f t="shared" si="12"/>
        <v>-145456.18</v>
      </c>
      <c r="H33" s="58">
        <f t="shared" si="12"/>
        <v>-145456.18</v>
      </c>
      <c r="I33" s="58">
        <f t="shared" si="12"/>
        <v>0</v>
      </c>
      <c r="J33" s="58">
        <f t="shared" si="12"/>
        <v>0</v>
      </c>
      <c r="K33" s="58">
        <f t="shared" si="12"/>
        <v>0</v>
      </c>
      <c r="L33" s="58">
        <f t="shared" si="12"/>
        <v>0</v>
      </c>
    </row>
    <row r="36" spans="2:12">
      <c r="C36">
        <f>3121512.76+763766.79</f>
        <v>3885279.55</v>
      </c>
      <c r="E36">
        <f>2458970.21+545606.28</f>
        <v>3004576.49</v>
      </c>
    </row>
  </sheetData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1:M39"/>
  <sheetViews>
    <sheetView workbookViewId="0">
      <selection activeCell="G42" sqref="G42"/>
    </sheetView>
  </sheetViews>
  <sheetFormatPr defaultRowHeight="12.75"/>
  <cols>
    <col min="1" max="1" width="3.7109375" customWidth="1"/>
    <col min="2" max="2" width="31.5703125" customWidth="1"/>
    <col min="3" max="3" width="15" customWidth="1"/>
    <col min="4" max="4" width="15.42578125" customWidth="1"/>
    <col min="5" max="5" width="15.7109375" customWidth="1"/>
    <col min="6" max="6" width="16.85546875" customWidth="1"/>
    <col min="7" max="7" width="15.140625" customWidth="1"/>
    <col min="8" max="8" width="14.7109375" customWidth="1"/>
    <col min="9" max="9" width="10.140625" bestFit="1" customWidth="1"/>
    <col min="10" max="10" width="11.7109375" customWidth="1"/>
    <col min="11" max="11" width="10.140625" bestFit="1" customWidth="1"/>
    <col min="12" max="12" width="11.7109375" customWidth="1"/>
    <col min="13" max="13" width="10.85546875" customWidth="1"/>
  </cols>
  <sheetData>
    <row r="1" spans="1:13" ht="18" customHeight="1">
      <c r="B1" s="56" t="s">
        <v>57</v>
      </c>
    </row>
    <row r="2" spans="1:13" s="26" customFormat="1" ht="28.5" customHeight="1">
      <c r="A2" s="20" t="s">
        <v>0</v>
      </c>
      <c r="B2" s="21" t="s">
        <v>1</v>
      </c>
      <c r="C2" s="22" t="s">
        <v>2</v>
      </c>
      <c r="D2" s="23" t="s">
        <v>3</v>
      </c>
      <c r="E2" s="24" t="s">
        <v>4</v>
      </c>
      <c r="F2" s="23" t="s">
        <v>5</v>
      </c>
      <c r="G2" s="23" t="s">
        <v>6</v>
      </c>
      <c r="H2" s="25" t="s">
        <v>7</v>
      </c>
      <c r="I2" s="24" t="s">
        <v>8</v>
      </c>
      <c r="J2" s="25" t="s">
        <v>9</v>
      </c>
      <c r="K2" s="21" t="s">
        <v>10</v>
      </c>
      <c r="L2" s="23" t="s">
        <v>11</v>
      </c>
      <c r="M2" s="27" t="s">
        <v>17</v>
      </c>
    </row>
    <row r="3" spans="1:13" ht="12.95" customHeight="1">
      <c r="A3" s="1">
        <v>1</v>
      </c>
      <c r="B3" s="41" t="str">
        <f>сентябрь!B3</f>
        <v>Содержание общ.имущ.дома</v>
      </c>
      <c r="C3" s="3">
        <f>69819.46+323470.43</f>
        <v>393289.89</v>
      </c>
      <c r="D3" s="12">
        <f>C3+сентябрь!D3</f>
        <v>3734376.98</v>
      </c>
      <c r="E3" s="4">
        <f>52360.79+298479.03</f>
        <v>350839.82</v>
      </c>
      <c r="F3" s="12">
        <f>E3+сентябрь!F3</f>
        <v>3464542.7800000003</v>
      </c>
      <c r="G3" s="12">
        <f>E3-C3</f>
        <v>-42450.070000000007</v>
      </c>
      <c r="H3" s="14">
        <f>F3-D3</f>
        <v>-269834.19999999972</v>
      </c>
      <c r="I3" s="4"/>
      <c r="J3" s="14">
        <f>I3+сентябрь!J3</f>
        <v>0</v>
      </c>
      <c r="K3" s="3"/>
      <c r="L3" s="12">
        <f>K3+сентябрь!L3</f>
        <v>0</v>
      </c>
      <c r="M3" s="14">
        <f>J3-L3</f>
        <v>0</v>
      </c>
    </row>
    <row r="4" spans="1:13" ht="12.95" customHeight="1">
      <c r="A4" s="1">
        <f>A3+1</f>
        <v>2</v>
      </c>
      <c r="B4" s="41" t="str">
        <f>сентябрь!B4</f>
        <v>Отопление</v>
      </c>
      <c r="C4" s="3">
        <f>203762.74+950500.64</f>
        <v>1154263.3799999999</v>
      </c>
      <c r="D4" s="12">
        <f>C4+сентябрь!D4</f>
        <v>6959262.0499999998</v>
      </c>
      <c r="E4" s="4">
        <f>32556.48+146635.59</f>
        <v>179192.07</v>
      </c>
      <c r="F4" s="12">
        <f>E4+сентябрь!F4</f>
        <v>7003322.4500000002</v>
      </c>
      <c r="G4" s="12">
        <f t="shared" ref="G4:G27" si="0">E4-C4</f>
        <v>-975071.30999999982</v>
      </c>
      <c r="H4" s="14">
        <f t="shared" ref="H4:H28" si="1">F4-D4</f>
        <v>44060.400000000373</v>
      </c>
      <c r="I4" s="4"/>
      <c r="J4" s="14">
        <f>I4+сентябрь!J4</f>
        <v>0</v>
      </c>
      <c r="K4" s="3"/>
      <c r="L4" s="12">
        <f>K4+сентябрь!L4</f>
        <v>0</v>
      </c>
      <c r="M4" s="14">
        <f t="shared" ref="M4:M28" si="2">J4-L4</f>
        <v>0</v>
      </c>
    </row>
    <row r="5" spans="1:13" ht="12.95" customHeight="1">
      <c r="A5" s="1">
        <f t="shared" ref="A5:A27" si="3">A4+1</f>
        <v>3</v>
      </c>
      <c r="B5" s="41" t="str">
        <f>сентябрь!B5</f>
        <v>Горячее водоснабжение</v>
      </c>
      <c r="C5" s="3">
        <f>120984.97+457689.45</f>
        <v>578674.42000000004</v>
      </c>
      <c r="D5" s="12">
        <f>C5+сентябрь!D5</f>
        <v>5683265.7199999997</v>
      </c>
      <c r="E5" s="4">
        <f>97215.2+416013.09</f>
        <v>513228.29000000004</v>
      </c>
      <c r="F5" s="12">
        <f>E5+сентябрь!F5</f>
        <v>5124243.3900000006</v>
      </c>
      <c r="G5" s="12">
        <f t="shared" si="0"/>
        <v>-65446.130000000005</v>
      </c>
      <c r="H5" s="14">
        <f t="shared" si="1"/>
        <v>-559022.32999999914</v>
      </c>
      <c r="I5" s="4"/>
      <c r="J5" s="14">
        <f>I5+сентябрь!J5</f>
        <v>0</v>
      </c>
      <c r="K5" s="3"/>
      <c r="L5" s="12">
        <f>K5+сентябрь!L5</f>
        <v>0</v>
      </c>
      <c r="M5" s="14">
        <f t="shared" si="2"/>
        <v>0</v>
      </c>
    </row>
    <row r="6" spans="1:13" ht="12.95" customHeight="1">
      <c r="A6" s="1">
        <f t="shared" si="3"/>
        <v>4</v>
      </c>
      <c r="B6" s="41" t="str">
        <f>сентябрь!B6</f>
        <v>Газ</v>
      </c>
      <c r="C6" s="3">
        <f>10854.16+7718.49</f>
        <v>18572.650000000001</v>
      </c>
      <c r="D6" s="12">
        <f>C6+сентябрь!D6</f>
        <v>179038.07999999999</v>
      </c>
      <c r="E6" s="4">
        <f>3116.09+3751.84</f>
        <v>6867.93</v>
      </c>
      <c r="F6" s="12">
        <f>E6+сентябрь!F6</f>
        <v>106973.91999999998</v>
      </c>
      <c r="G6" s="12">
        <f t="shared" si="0"/>
        <v>-11704.720000000001</v>
      </c>
      <c r="H6" s="14">
        <f t="shared" si="1"/>
        <v>-72064.160000000003</v>
      </c>
      <c r="I6" s="4"/>
      <c r="J6" s="14">
        <f>I6+сентябрь!J6</f>
        <v>0</v>
      </c>
      <c r="K6" s="3"/>
      <c r="L6" s="12">
        <f>K6+сентябрь!L6</f>
        <v>0</v>
      </c>
      <c r="M6" s="14">
        <f t="shared" si="2"/>
        <v>0</v>
      </c>
    </row>
    <row r="7" spans="1:13" ht="12.95" customHeight="1">
      <c r="A7" s="1">
        <f t="shared" si="3"/>
        <v>5</v>
      </c>
      <c r="B7" s="41" t="str">
        <f>сентябрь!B7</f>
        <v>Со.и ремонт АППЗ</v>
      </c>
      <c r="C7" s="3">
        <f>826.85+4592.67</f>
        <v>5419.52</v>
      </c>
      <c r="D7" s="12">
        <f>C7+сентябрь!D7</f>
        <v>53360.7</v>
      </c>
      <c r="E7" s="4">
        <f>615.27+4199.17</f>
        <v>4814.4400000000005</v>
      </c>
      <c r="F7" s="12">
        <f>E7+сентябрь!F7</f>
        <v>52120.05</v>
      </c>
      <c r="G7" s="12">
        <f t="shared" si="0"/>
        <v>-605.07999999999993</v>
      </c>
      <c r="H7" s="14">
        <f t="shared" si="1"/>
        <v>-1240.6499999999942</v>
      </c>
      <c r="I7" s="4"/>
      <c r="J7" s="14">
        <f>I7+сентябрь!J7</f>
        <v>0</v>
      </c>
      <c r="K7" s="3"/>
      <c r="L7" s="12">
        <f>K7+сентябрь!L7</f>
        <v>0</v>
      </c>
      <c r="M7" s="14">
        <f t="shared" si="2"/>
        <v>0</v>
      </c>
    </row>
    <row r="8" spans="1:13" ht="12.95" customHeight="1">
      <c r="A8" s="1">
        <f t="shared" si="3"/>
        <v>6</v>
      </c>
      <c r="B8" s="41" t="str">
        <f>сентябрь!B8</f>
        <v>Сод.и ремонт лифтов</v>
      </c>
      <c r="C8" s="3">
        <f>4942.72+26824.05</f>
        <v>31766.77</v>
      </c>
      <c r="D8" s="12">
        <f>C8+сентябрь!D8</f>
        <v>331516.04000000004</v>
      </c>
      <c r="E8" s="4">
        <f>4299.93+24463.34</f>
        <v>28763.27</v>
      </c>
      <c r="F8" s="12">
        <f>E8+сентябрь!F8</f>
        <v>332621.88999999996</v>
      </c>
      <c r="G8" s="12">
        <f t="shared" si="0"/>
        <v>-3003.5</v>
      </c>
      <c r="H8" s="14">
        <f t="shared" si="1"/>
        <v>1105.8499999999185</v>
      </c>
      <c r="I8" s="4"/>
      <c r="J8" s="14">
        <f>I8+сентябрь!J8</f>
        <v>0</v>
      </c>
      <c r="K8" s="3"/>
      <c r="L8" s="12">
        <f>K8+сентябрь!L8</f>
        <v>0</v>
      </c>
      <c r="M8" s="14">
        <f t="shared" si="2"/>
        <v>0</v>
      </c>
    </row>
    <row r="9" spans="1:13" ht="12.95" customHeight="1">
      <c r="A9" s="1">
        <f t="shared" si="3"/>
        <v>7</v>
      </c>
      <c r="B9" s="41" t="str">
        <f>сентябрь!B9</f>
        <v>Очистка мусоропроводов</v>
      </c>
      <c r="C9" s="3">
        <f>2987.9+16197.74</f>
        <v>19185.64</v>
      </c>
      <c r="D9" s="12">
        <f>C9+сентябрь!D9</f>
        <v>177205.18</v>
      </c>
      <c r="E9" s="4">
        <f>2204.3+14542.47</f>
        <v>16746.77</v>
      </c>
      <c r="F9" s="12">
        <f>E9+сентябрь!F9</f>
        <v>169694.71</v>
      </c>
      <c r="G9" s="12">
        <f t="shared" si="0"/>
        <v>-2438.869999999999</v>
      </c>
      <c r="H9" s="14">
        <f t="shared" si="1"/>
        <v>-7510.4700000000012</v>
      </c>
      <c r="I9" s="4"/>
      <c r="J9" s="14">
        <f>I9+сентябрь!J9</f>
        <v>0</v>
      </c>
      <c r="K9" s="3"/>
      <c r="L9" s="12">
        <f>K9+сентябрь!L9</f>
        <v>0</v>
      </c>
      <c r="M9" s="14">
        <f t="shared" si="2"/>
        <v>0</v>
      </c>
    </row>
    <row r="10" spans="1:13" ht="12.95" customHeight="1">
      <c r="A10" s="1">
        <f t="shared" si="3"/>
        <v>8</v>
      </c>
      <c r="B10" s="41" t="str">
        <f>сентябрь!B10</f>
        <v>Уборка и сан.очистка зем.уч.</v>
      </c>
      <c r="C10" s="3">
        <f>10543.05+48875.78</f>
        <v>59418.83</v>
      </c>
      <c r="D10" s="12">
        <f>C10+сентябрь!D10</f>
        <v>570134.53</v>
      </c>
      <c r="E10" s="4">
        <f>7882.54+45140.02</f>
        <v>53022.559999999998</v>
      </c>
      <c r="F10" s="12">
        <f>E10+сентябрь!F10</f>
        <v>527570.71</v>
      </c>
      <c r="G10" s="12">
        <f t="shared" si="0"/>
        <v>-6396.2700000000041</v>
      </c>
      <c r="H10" s="14">
        <f t="shared" si="1"/>
        <v>-42563.820000000065</v>
      </c>
      <c r="I10" s="4"/>
      <c r="J10" s="14">
        <f>I10+сентябрь!J10</f>
        <v>0</v>
      </c>
      <c r="K10" s="3"/>
      <c r="L10" s="12">
        <f>K10+сентябрь!L10</f>
        <v>0</v>
      </c>
      <c r="M10" s="14">
        <f t="shared" si="2"/>
        <v>0</v>
      </c>
    </row>
    <row r="11" spans="1:13" ht="12.95" customHeight="1">
      <c r="A11" s="1">
        <f t="shared" si="3"/>
        <v>9</v>
      </c>
      <c r="B11" s="41" t="str">
        <f>сентябрь!B11</f>
        <v>Электроснабжение (инд.потр)</v>
      </c>
      <c r="C11" s="3">
        <f>67717.63+272366.87</f>
        <v>340084.5</v>
      </c>
      <c r="D11" s="12">
        <f>C11+сентябрь!D11</f>
        <v>3273397.5699999994</v>
      </c>
      <c r="E11" s="4">
        <f>51381.81+261685.9</f>
        <v>313067.70999999996</v>
      </c>
      <c r="F11" s="12">
        <f>E11+сентябрь!F11</f>
        <v>3041933.3800000004</v>
      </c>
      <c r="G11" s="12">
        <f t="shared" si="0"/>
        <v>-27016.790000000037</v>
      </c>
      <c r="H11" s="14">
        <f t="shared" si="1"/>
        <v>-231464.18999999901</v>
      </c>
      <c r="I11" s="4"/>
      <c r="J11" s="14">
        <f>I11+сентябрь!J11</f>
        <v>0</v>
      </c>
      <c r="K11" s="3"/>
      <c r="L11" s="12">
        <f>K11+сентябрь!L11</f>
        <v>0</v>
      </c>
      <c r="M11" s="14">
        <f t="shared" si="2"/>
        <v>0</v>
      </c>
    </row>
    <row r="12" spans="1:13" ht="12.95" customHeight="1">
      <c r="A12" s="1">
        <f t="shared" si="3"/>
        <v>10</v>
      </c>
      <c r="B12" s="41" t="str">
        <f>сентябрь!B12</f>
        <v>Холодная вода</v>
      </c>
      <c r="C12" s="3">
        <f>64477.76+236294.95</f>
        <v>300772.71000000002</v>
      </c>
      <c r="D12" s="12">
        <f>C12+сентябрь!D12</f>
        <v>2839290.17</v>
      </c>
      <c r="E12" s="4">
        <f>47595.16+209353.79</f>
        <v>256948.95</v>
      </c>
      <c r="F12" s="12">
        <f>E12+сентябрь!F12</f>
        <v>2471807.37</v>
      </c>
      <c r="G12" s="12">
        <f t="shared" si="0"/>
        <v>-43823.760000000009</v>
      </c>
      <c r="H12" s="14">
        <f t="shared" si="1"/>
        <v>-367482.79999999981</v>
      </c>
      <c r="I12" s="4"/>
      <c r="J12" s="14">
        <f>I12+сентябрь!J12</f>
        <v>0</v>
      </c>
      <c r="K12" s="3"/>
      <c r="L12" s="12">
        <f>K12+сентябрь!L12</f>
        <v>0</v>
      </c>
      <c r="M12" s="14">
        <f t="shared" si="2"/>
        <v>0</v>
      </c>
    </row>
    <row r="13" spans="1:13" ht="12.95" customHeight="1">
      <c r="A13" s="1">
        <f t="shared" si="3"/>
        <v>11</v>
      </c>
      <c r="B13" s="41" t="str">
        <f>сентябрь!B13</f>
        <v>Канализирование х. воды</v>
      </c>
      <c r="C13" s="3">
        <v>0</v>
      </c>
      <c r="D13" s="12">
        <f>C13+сентябрь!D13</f>
        <v>-2210.14</v>
      </c>
      <c r="E13" s="60">
        <f>163.06+8.49</f>
        <v>171.55</v>
      </c>
      <c r="F13" s="12">
        <f>E13+сентябрь!F13</f>
        <v>4104.78</v>
      </c>
      <c r="G13" s="12">
        <f t="shared" si="0"/>
        <v>171.55</v>
      </c>
      <c r="H13" s="14">
        <f t="shared" si="1"/>
        <v>6314.92</v>
      </c>
      <c r="I13" s="4"/>
      <c r="J13" s="14">
        <f>I13+сентябрь!J13</f>
        <v>0</v>
      </c>
      <c r="K13" s="3"/>
      <c r="L13" s="12">
        <f>K13+сентябрь!L13</f>
        <v>0</v>
      </c>
      <c r="M13" s="14">
        <f t="shared" si="2"/>
        <v>0</v>
      </c>
    </row>
    <row r="14" spans="1:13" ht="12.95" customHeight="1">
      <c r="A14" s="1">
        <f t="shared" si="3"/>
        <v>12</v>
      </c>
      <c r="B14" s="41" t="str">
        <f>сентябрь!B14</f>
        <v>Канализирование г. воды</v>
      </c>
      <c r="C14" s="3">
        <v>0</v>
      </c>
      <c r="D14" s="12">
        <f>C14+сентябрь!D14</f>
        <v>-1504.92</v>
      </c>
      <c r="E14" s="4">
        <f>-180.3+5.77</f>
        <v>-174.53</v>
      </c>
      <c r="F14" s="12">
        <f>E14+сентябрь!F14</f>
        <v>2029.9000000000003</v>
      </c>
      <c r="G14" s="12">
        <f t="shared" si="0"/>
        <v>-174.53</v>
      </c>
      <c r="H14" s="14">
        <f t="shared" si="1"/>
        <v>3534.8200000000006</v>
      </c>
      <c r="I14" s="4"/>
      <c r="J14" s="14">
        <f>I14+сентябрь!J14</f>
        <v>0</v>
      </c>
      <c r="K14" s="3"/>
      <c r="L14" s="12">
        <f>K14+сентябрь!L14</f>
        <v>0</v>
      </c>
      <c r="M14" s="14">
        <f t="shared" si="2"/>
        <v>0</v>
      </c>
    </row>
    <row r="15" spans="1:13" ht="12.95" customHeight="1">
      <c r="A15" s="1">
        <f t="shared" si="3"/>
        <v>13</v>
      </c>
      <c r="B15" s="41" t="str">
        <f>сентябрь!B15</f>
        <v>Тек.рем.общ.имущ.дома</v>
      </c>
      <c r="C15" s="3">
        <f>34825.53+161446.48</f>
        <v>196272.01</v>
      </c>
      <c r="D15" s="12">
        <f>C15+сентябрь!D15</f>
        <v>1911918.22</v>
      </c>
      <c r="E15" s="4">
        <f>26176.44+149542.74</f>
        <v>175719.18</v>
      </c>
      <c r="F15" s="12">
        <f>E15+сентябрь!F15</f>
        <v>1792067.0499999996</v>
      </c>
      <c r="G15" s="12">
        <f t="shared" si="0"/>
        <v>-20552.830000000016</v>
      </c>
      <c r="H15" s="14">
        <f t="shared" si="1"/>
        <v>-119851.17000000039</v>
      </c>
      <c r="I15" s="4"/>
      <c r="J15" s="14">
        <f>I15+сентябрь!J15</f>
        <v>0</v>
      </c>
      <c r="K15" s="3"/>
      <c r="L15" s="12">
        <f>K15+сентябрь!L15</f>
        <v>0</v>
      </c>
      <c r="M15" s="14">
        <f t="shared" si="2"/>
        <v>0</v>
      </c>
    </row>
    <row r="16" spans="1:13" ht="12.95" customHeight="1">
      <c r="A16" s="1">
        <f t="shared" si="3"/>
        <v>14</v>
      </c>
      <c r="B16" s="41" t="str">
        <f>сентябрь!B16</f>
        <v>Сод.и тек.рем.в/дом.газосн.</v>
      </c>
      <c r="C16" s="3">
        <f>2166.17+9913.47</f>
        <v>12079.64</v>
      </c>
      <c r="D16" s="12">
        <f>C16+сентябрь!D16</f>
        <v>119621.02</v>
      </c>
      <c r="E16" s="4">
        <f>1603.04+9630.62</f>
        <v>11233.66</v>
      </c>
      <c r="F16" s="12">
        <f>E16+сентябрь!F16</f>
        <v>109736.09</v>
      </c>
      <c r="G16" s="12">
        <f t="shared" si="0"/>
        <v>-845.97999999999956</v>
      </c>
      <c r="H16" s="14">
        <f t="shared" si="1"/>
        <v>-9884.9300000000076</v>
      </c>
      <c r="I16" s="4"/>
      <c r="J16" s="14">
        <f>I16+сентябрь!J16</f>
        <v>0</v>
      </c>
      <c r="K16" s="3"/>
      <c r="L16" s="12">
        <f>K16+сентябрь!L16</f>
        <v>0</v>
      </c>
      <c r="M16" s="14">
        <f t="shared" si="2"/>
        <v>0</v>
      </c>
    </row>
    <row r="17" spans="1:13" ht="12.95" customHeight="1">
      <c r="A17" s="1">
        <f t="shared" si="3"/>
        <v>15</v>
      </c>
      <c r="B17" s="41" t="str">
        <f>сентябрь!B17</f>
        <v>Управление многокв.домом</v>
      </c>
      <c r="C17" s="3">
        <f>16755.3+77692.02</f>
        <v>94447.32</v>
      </c>
      <c r="D17" s="12">
        <f>C17+сентябрь!D17</f>
        <v>843399.83000000007</v>
      </c>
      <c r="E17" s="4">
        <f>12494.51+71033.04</f>
        <v>83527.549999999988</v>
      </c>
      <c r="F17" s="12">
        <f>E17+сентябрь!F17</f>
        <v>762648.6100000001</v>
      </c>
      <c r="G17" s="12">
        <f t="shared" si="0"/>
        <v>-10919.770000000019</v>
      </c>
      <c r="H17" s="14">
        <f t="shared" si="1"/>
        <v>-80751.219999999972</v>
      </c>
      <c r="I17" s="4"/>
      <c r="J17" s="14">
        <f>I17+сентябрь!J17</f>
        <v>0</v>
      </c>
      <c r="K17" s="3"/>
      <c r="L17" s="12">
        <f>K17+сентябрь!L17</f>
        <v>0</v>
      </c>
      <c r="M17" s="14">
        <f t="shared" si="2"/>
        <v>0</v>
      </c>
    </row>
    <row r="18" spans="1:13" ht="12.95" customHeight="1">
      <c r="A18" s="1">
        <f>сентябрь!18:18</f>
        <v>16</v>
      </c>
      <c r="B18" s="41" t="str">
        <f>сентябрь!B18</f>
        <v>Водоотведение (кв)</v>
      </c>
      <c r="C18" s="3">
        <f>99233.5+368889.18</f>
        <v>468122.68</v>
      </c>
      <c r="D18" s="12">
        <f>C18+сентябрь!D18</f>
        <v>4443159.51</v>
      </c>
      <c r="E18" s="4">
        <f>75946.53+329811.13</f>
        <v>405757.66000000003</v>
      </c>
      <c r="F18" s="12">
        <f>E18+сентябрь!F18</f>
        <v>3921533.7</v>
      </c>
      <c r="G18" s="12">
        <f t="shared" si="0"/>
        <v>-62365.01999999996</v>
      </c>
      <c r="H18" s="14">
        <f t="shared" si="1"/>
        <v>-521625.80999999959</v>
      </c>
      <c r="I18" s="4"/>
      <c r="J18" s="14">
        <f>I18+сентябрь!J18</f>
        <v>0</v>
      </c>
      <c r="K18" s="3"/>
      <c r="L18" s="12">
        <f>K18+сентябрь!L18</f>
        <v>0</v>
      </c>
      <c r="M18" s="14">
        <f t="shared" si="2"/>
        <v>0</v>
      </c>
    </row>
    <row r="19" spans="1:13" ht="12.95" customHeight="1">
      <c r="A19" s="1">
        <f t="shared" si="3"/>
        <v>17</v>
      </c>
      <c r="B19" s="41" t="str">
        <f>сентябрь!B19</f>
        <v>Электроснабж.на общед.нужды</v>
      </c>
      <c r="C19" s="3">
        <f>1109.41+5660.59</f>
        <v>6770</v>
      </c>
      <c r="D19" s="12">
        <f>C19+сентябрь!D19</f>
        <v>68018.23000000001</v>
      </c>
      <c r="E19" s="4">
        <f>885.27+4831.58</f>
        <v>5716.85</v>
      </c>
      <c r="F19" s="12">
        <f>E19+сентябрь!F19</f>
        <v>66612.78</v>
      </c>
      <c r="G19" s="12">
        <f t="shared" si="0"/>
        <v>-1053.1499999999996</v>
      </c>
      <c r="H19" s="14">
        <f t="shared" si="1"/>
        <v>-1405.4500000000116</v>
      </c>
      <c r="I19" s="4"/>
      <c r="J19" s="14">
        <f>I19+сентябрь!J19</f>
        <v>0</v>
      </c>
      <c r="K19" s="3"/>
      <c r="L19" s="12">
        <f>K19+сентябрь!L19</f>
        <v>0</v>
      </c>
      <c r="M19" s="14">
        <f t="shared" si="2"/>
        <v>0</v>
      </c>
    </row>
    <row r="20" spans="1:13" ht="12.95" customHeight="1">
      <c r="A20" s="1">
        <f t="shared" si="3"/>
        <v>18</v>
      </c>
      <c r="B20" s="41" t="str">
        <f>сентябрь!B20</f>
        <v>Эксплуатация общед. ПУ</v>
      </c>
      <c r="C20" s="3">
        <f>2807.66+14993.4</f>
        <v>17801.059999999998</v>
      </c>
      <c r="D20" s="12">
        <f>C20+сентябрь!D20</f>
        <v>172799.63</v>
      </c>
      <c r="E20" s="4">
        <f>2126.24+13878.27</f>
        <v>16004.51</v>
      </c>
      <c r="F20" s="12">
        <f>E20+сентябрь!F20</f>
        <v>164818.69999999998</v>
      </c>
      <c r="G20" s="12">
        <f t="shared" si="0"/>
        <v>-1796.5499999999975</v>
      </c>
      <c r="H20" s="14">
        <f t="shared" si="1"/>
        <v>-7980.9300000000221</v>
      </c>
      <c r="I20" s="4"/>
      <c r="J20" s="14">
        <f>I20+сентябрь!J20</f>
        <v>0</v>
      </c>
      <c r="K20" s="3"/>
      <c r="L20" s="12">
        <f>K20+сентябрь!L20</f>
        <v>0</v>
      </c>
      <c r="M20" s="14">
        <f t="shared" si="2"/>
        <v>0</v>
      </c>
    </row>
    <row r="21" spans="1:13" ht="12.95" customHeight="1">
      <c r="A21" s="1">
        <f t="shared" si="3"/>
        <v>19</v>
      </c>
      <c r="B21" s="41" t="str">
        <f>сентябрь!B21</f>
        <v>Хол.водоснабж.(о/д нужды)</v>
      </c>
      <c r="C21" s="3">
        <f>1153.98+6018.53</f>
        <v>7172.51</v>
      </c>
      <c r="D21" s="12">
        <f>C21+сентябрь!D21</f>
        <v>66975.8</v>
      </c>
      <c r="E21" s="4">
        <f>979.98+5548.69</f>
        <v>6528.67</v>
      </c>
      <c r="F21" s="12">
        <f>E21+сентябрь!F21</f>
        <v>70914.45</v>
      </c>
      <c r="G21" s="12">
        <f t="shared" si="0"/>
        <v>-643.84000000000015</v>
      </c>
      <c r="H21" s="14">
        <f t="shared" si="1"/>
        <v>3938.6499999999942</v>
      </c>
      <c r="I21" s="4"/>
      <c r="J21" s="14">
        <f>I21+сентябрь!J21</f>
        <v>0</v>
      </c>
      <c r="K21" s="3"/>
      <c r="L21" s="12">
        <f>K21+сентябрь!L21</f>
        <v>0</v>
      </c>
      <c r="M21" s="14">
        <f t="shared" si="2"/>
        <v>0</v>
      </c>
    </row>
    <row r="22" spans="1:13" ht="12.95" customHeight="1">
      <c r="A22" s="1">
        <f t="shared" si="3"/>
        <v>20</v>
      </c>
      <c r="B22" s="41" t="str">
        <f>сентябрь!B22</f>
        <v>Водоотведение(о/д нужды)</v>
      </c>
      <c r="C22" s="3">
        <v>0</v>
      </c>
      <c r="D22" s="12">
        <f>C22+сентябрь!D22</f>
        <v>118323.09999999999</v>
      </c>
      <c r="E22" s="4">
        <v>-245.83</v>
      </c>
      <c r="F22" s="12">
        <f>E22+сентябрь!F22</f>
        <v>152890.67000000001</v>
      </c>
      <c r="G22" s="12">
        <f t="shared" si="0"/>
        <v>-245.83</v>
      </c>
      <c r="H22" s="14">
        <f t="shared" si="1"/>
        <v>34567.570000000022</v>
      </c>
      <c r="I22" s="4"/>
      <c r="J22" s="14">
        <f>I22+сентябрь!J22</f>
        <v>0</v>
      </c>
      <c r="K22" s="3"/>
      <c r="L22" s="12">
        <f>K22+сентябрь!L22</f>
        <v>0</v>
      </c>
      <c r="M22" s="14">
        <f t="shared" si="2"/>
        <v>0</v>
      </c>
    </row>
    <row r="23" spans="1:13" ht="12.95" customHeight="1">
      <c r="A23" s="1">
        <f t="shared" si="3"/>
        <v>21</v>
      </c>
      <c r="B23" s="41" t="str">
        <f>сентябрь!B23</f>
        <v>Отопление (о/д нужды)</v>
      </c>
      <c r="C23" s="3">
        <v>0</v>
      </c>
      <c r="D23" s="12">
        <f>C23+сентябрь!D23</f>
        <v>-848.48</v>
      </c>
      <c r="E23" s="4"/>
      <c r="F23" s="12">
        <f>E23+сентябрь!F23</f>
        <v>1598.5200000000002</v>
      </c>
      <c r="G23" s="12">
        <f t="shared" si="0"/>
        <v>0</v>
      </c>
      <c r="H23" s="14">
        <f t="shared" si="1"/>
        <v>2447</v>
      </c>
      <c r="I23" s="4"/>
      <c r="J23" s="14">
        <f>I23+сентябрь!J23</f>
        <v>0</v>
      </c>
      <c r="K23" s="3"/>
      <c r="L23" s="12">
        <f>K23+сентябрь!L23</f>
        <v>0</v>
      </c>
      <c r="M23" s="14">
        <f t="shared" si="2"/>
        <v>0</v>
      </c>
    </row>
    <row r="24" spans="1:13" ht="12.95" customHeight="1">
      <c r="A24" s="1">
        <f t="shared" si="3"/>
        <v>22</v>
      </c>
      <c r="B24" s="41" t="str">
        <f>сентябрь!B24</f>
        <v>Электроснабжение (общед.н)</v>
      </c>
      <c r="C24" s="3">
        <f>21443.26+109184.48+9255.36</f>
        <v>139883.09999999998</v>
      </c>
      <c r="D24" s="12">
        <f>C24+сентябрь!D24</f>
        <v>1625448.21</v>
      </c>
      <c r="E24" s="4">
        <f>15894.41+91533.91+6592.99</f>
        <v>114021.31000000001</v>
      </c>
      <c r="F24" s="12">
        <f>E24+сентябрь!F24</f>
        <v>1742594.97</v>
      </c>
      <c r="G24" s="12">
        <f t="shared" si="0"/>
        <v>-25861.789999999964</v>
      </c>
      <c r="H24" s="14">
        <f t="shared" si="1"/>
        <v>117146.76000000001</v>
      </c>
      <c r="I24" s="4"/>
      <c r="J24" s="14">
        <f>I24+сентябрь!J24</f>
        <v>0</v>
      </c>
      <c r="K24" s="3"/>
      <c r="L24" s="12">
        <f>K24+сентябрь!L24</f>
        <v>0</v>
      </c>
      <c r="M24" s="14">
        <f t="shared" si="2"/>
        <v>0</v>
      </c>
    </row>
    <row r="25" spans="1:13" ht="12.95" customHeight="1">
      <c r="A25" s="1">
        <f t="shared" si="3"/>
        <v>23</v>
      </c>
      <c r="B25" s="41" t="str">
        <f>сентябрь!B25</f>
        <v>Гор.водоснабж.(о/д нужды)</v>
      </c>
      <c r="C25" s="3">
        <f>2275.36+11621.87</f>
        <v>13897.230000000001</v>
      </c>
      <c r="D25" s="12">
        <f>C25+сентябрь!D25</f>
        <v>159737.80000000002</v>
      </c>
      <c r="E25" s="4">
        <f>1734.86+10737.5</f>
        <v>12472.36</v>
      </c>
      <c r="F25" s="12">
        <f>E25+сентябрь!F25</f>
        <v>158811.72999999998</v>
      </c>
      <c r="G25" s="12">
        <f t="shared" si="0"/>
        <v>-1424.8700000000008</v>
      </c>
      <c r="H25" s="14">
        <f t="shared" si="1"/>
        <v>-926.07000000003609</v>
      </c>
      <c r="I25" s="4"/>
      <c r="J25" s="14">
        <f>I25+сентябрь!J25</f>
        <v>0</v>
      </c>
      <c r="K25" s="3"/>
      <c r="L25" s="12">
        <f>K25+сентябрь!L25</f>
        <v>0</v>
      </c>
      <c r="M25" s="14">
        <f t="shared" si="2"/>
        <v>0</v>
      </c>
    </row>
    <row r="26" spans="1:13" ht="12.95" customHeight="1">
      <c r="A26" s="1">
        <f t="shared" si="3"/>
        <v>24</v>
      </c>
      <c r="B26" s="41" t="str">
        <f>сентябрь!B26</f>
        <v>Капитальный ремонт</v>
      </c>
      <c r="C26" s="3">
        <v>0</v>
      </c>
      <c r="D26" s="12">
        <f>C26+сентябрь!D26</f>
        <v>0</v>
      </c>
      <c r="E26" s="4">
        <v>0</v>
      </c>
      <c r="F26" s="12">
        <f>E26+сентябрь!F26</f>
        <v>0</v>
      </c>
      <c r="G26" s="12">
        <f t="shared" si="0"/>
        <v>0</v>
      </c>
      <c r="H26" s="14">
        <f t="shared" si="1"/>
        <v>0</v>
      </c>
      <c r="I26" s="4"/>
      <c r="J26" s="14">
        <f>I26+сентябрь!J26</f>
        <v>0</v>
      </c>
      <c r="K26" s="3"/>
      <c r="L26" s="12">
        <f>K26+сентябрь!L26</f>
        <v>0</v>
      </c>
      <c r="M26" s="14">
        <f t="shared" si="2"/>
        <v>0</v>
      </c>
    </row>
    <row r="27" spans="1:13" ht="12.95" customHeight="1">
      <c r="A27" s="1">
        <f t="shared" si="3"/>
        <v>25</v>
      </c>
      <c r="B27" s="41" t="str">
        <f>сентябрь!B27</f>
        <v>Уборка лестн. Кл</v>
      </c>
      <c r="C27" s="3">
        <v>0</v>
      </c>
      <c r="D27" s="12">
        <f>C27+сентябрь!D27</f>
        <v>4670.8500000000004</v>
      </c>
      <c r="E27" s="4">
        <v>0</v>
      </c>
      <c r="F27" s="12">
        <f>E27+сентябрь!F27</f>
        <v>2749.94</v>
      </c>
      <c r="G27" s="12">
        <f t="shared" si="0"/>
        <v>0</v>
      </c>
      <c r="H27" s="14">
        <f t="shared" si="1"/>
        <v>-1920.9100000000003</v>
      </c>
      <c r="I27" s="4"/>
      <c r="J27" s="14">
        <f>I27+сентябрь!J27</f>
        <v>0</v>
      </c>
      <c r="K27" s="3"/>
      <c r="L27" s="12">
        <f>K27+сентябрь!L27</f>
        <v>0</v>
      </c>
      <c r="M27" s="14">
        <f t="shared" si="2"/>
        <v>0</v>
      </c>
    </row>
    <row r="28" spans="1:13" ht="12.95" customHeight="1">
      <c r="A28" s="1">
        <v>26</v>
      </c>
      <c r="B28" s="41" t="s">
        <v>46</v>
      </c>
      <c r="C28" s="3">
        <v>0</v>
      </c>
      <c r="D28" s="12">
        <f>C28+сентябрь!D28</f>
        <v>0</v>
      </c>
      <c r="E28" s="4">
        <v>0</v>
      </c>
      <c r="F28" s="12">
        <f>E28+сентябрь!F28</f>
        <v>0</v>
      </c>
      <c r="G28" s="12">
        <f>E28-C28</f>
        <v>0</v>
      </c>
      <c r="H28" s="14">
        <f t="shared" si="1"/>
        <v>0</v>
      </c>
      <c r="I28" s="4"/>
      <c r="J28" s="14">
        <f>I28+сентябрь!J28</f>
        <v>0</v>
      </c>
      <c r="K28" s="3"/>
      <c r="L28" s="12">
        <f>K28+сентябрь!L28</f>
        <v>0</v>
      </c>
      <c r="M28" s="14">
        <f t="shared" si="2"/>
        <v>0</v>
      </c>
    </row>
    <row r="29" spans="1:13" ht="12.95" customHeight="1">
      <c r="A29" s="18"/>
      <c r="B29" s="19" t="s">
        <v>12</v>
      </c>
      <c r="C29" s="72">
        <f>SUM(C3:C28)</f>
        <v>3857893.8600000003</v>
      </c>
      <c r="D29" s="72">
        <f t="shared" ref="D29:M29" si="4">SUM(D3:D28)</f>
        <v>33330355.680000003</v>
      </c>
      <c r="E29" s="72">
        <f t="shared" si="4"/>
        <v>2554224.7499999995</v>
      </c>
      <c r="F29" s="72">
        <f t="shared" si="4"/>
        <v>31247942.540000003</v>
      </c>
      <c r="G29" s="72">
        <f t="shared" si="4"/>
        <v>-1303669.1100000003</v>
      </c>
      <c r="H29" s="72">
        <f t="shared" si="4"/>
        <v>-2082413.139999998</v>
      </c>
      <c r="I29" s="72">
        <f t="shared" si="4"/>
        <v>0</v>
      </c>
      <c r="J29" s="72">
        <f t="shared" si="4"/>
        <v>0</v>
      </c>
      <c r="K29" s="72">
        <f t="shared" si="4"/>
        <v>0</v>
      </c>
      <c r="L29" s="72">
        <f t="shared" si="4"/>
        <v>0</v>
      </c>
      <c r="M29" s="72">
        <f t="shared" si="4"/>
        <v>0</v>
      </c>
    </row>
    <row r="31" spans="1:13">
      <c r="H31" s="54"/>
    </row>
    <row r="32" spans="1:13">
      <c r="B32" s="57" t="s">
        <v>42</v>
      </c>
      <c r="C32" s="58">
        <f>C12+C13+C14+C18+C21+C22</f>
        <v>776067.9</v>
      </c>
      <c r="D32" s="58">
        <f t="shared" ref="D32:L32" si="5">D12+D13+D14+D18+D21+D22</f>
        <v>7464033.5199999986</v>
      </c>
      <c r="E32" s="58">
        <f t="shared" si="5"/>
        <v>668986.47000000009</v>
      </c>
      <c r="F32" s="58">
        <f t="shared" si="5"/>
        <v>6623280.8700000001</v>
      </c>
      <c r="G32" s="58">
        <f t="shared" si="5"/>
        <v>-107081.42999999996</v>
      </c>
      <c r="H32" s="58">
        <f t="shared" si="5"/>
        <v>-840752.64999999932</v>
      </c>
      <c r="I32" s="58">
        <f t="shared" si="5"/>
        <v>0</v>
      </c>
      <c r="J32" s="58">
        <f t="shared" si="5"/>
        <v>0</v>
      </c>
      <c r="K32" s="58">
        <f t="shared" si="5"/>
        <v>0</v>
      </c>
      <c r="L32" s="58">
        <f t="shared" si="5"/>
        <v>0</v>
      </c>
    </row>
    <row r="33" spans="2:12">
      <c r="B33" s="57" t="s">
        <v>43</v>
      </c>
      <c r="C33" s="58">
        <f t="shared" ref="C33:L33" si="6">C11+C24+C19</f>
        <v>486737.6</v>
      </c>
      <c r="D33" s="58">
        <f t="shared" si="6"/>
        <v>4966864.01</v>
      </c>
      <c r="E33" s="58">
        <f t="shared" si="6"/>
        <v>432805.86999999994</v>
      </c>
      <c r="F33" s="58">
        <f t="shared" si="6"/>
        <v>4851141.1300000008</v>
      </c>
      <c r="G33" s="58">
        <f t="shared" si="6"/>
        <v>-53931.73</v>
      </c>
      <c r="H33" s="58">
        <f t="shared" si="6"/>
        <v>-115722.87999999902</v>
      </c>
      <c r="I33" s="58">
        <f t="shared" si="6"/>
        <v>0</v>
      </c>
      <c r="J33" s="58">
        <f t="shared" si="6"/>
        <v>0</v>
      </c>
      <c r="K33" s="58">
        <f t="shared" si="6"/>
        <v>0</v>
      </c>
      <c r="L33" s="58">
        <f t="shared" si="6"/>
        <v>0</v>
      </c>
    </row>
    <row r="34" spans="2:12">
      <c r="B34" s="57" t="s">
        <v>44</v>
      </c>
      <c r="C34" s="58">
        <f>C4+C5+C23+C25</f>
        <v>1746835.0299999998</v>
      </c>
      <c r="D34" s="58">
        <f t="shared" ref="D34:L34" si="7">D4+D5+D23+D25</f>
        <v>12801417.09</v>
      </c>
      <c r="E34" s="58">
        <f t="shared" si="7"/>
        <v>704892.72000000009</v>
      </c>
      <c r="F34" s="58">
        <f t="shared" si="7"/>
        <v>12287976.09</v>
      </c>
      <c r="G34" s="58">
        <f t="shared" si="7"/>
        <v>-1041942.3099999998</v>
      </c>
      <c r="H34" s="58">
        <f t="shared" si="7"/>
        <v>-513440.99999999884</v>
      </c>
      <c r="I34" s="58">
        <f t="shared" si="7"/>
        <v>0</v>
      </c>
      <c r="J34" s="58">
        <f t="shared" si="7"/>
        <v>0</v>
      </c>
      <c r="K34" s="58">
        <f t="shared" si="7"/>
        <v>0</v>
      </c>
      <c r="L34" s="58">
        <f t="shared" si="7"/>
        <v>0</v>
      </c>
    </row>
    <row r="37" spans="2:12">
      <c r="C37">
        <f>738687.41+3119206.45</f>
        <v>3857893.8600000003</v>
      </c>
      <c r="E37">
        <f>436805.78+2117418.97</f>
        <v>2554224.75</v>
      </c>
      <c r="F37" s="71"/>
      <c r="G37" s="71"/>
    </row>
    <row r="38" spans="2:12">
      <c r="F38" s="71"/>
      <c r="G38" s="71"/>
    </row>
    <row r="39" spans="2:12">
      <c r="F39" s="73"/>
      <c r="G39" s="73"/>
    </row>
  </sheetData>
  <phoneticPr fontId="0" type="noConversion"/>
  <pageMargins left="0.24" right="0.16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1:M38"/>
  <sheetViews>
    <sheetView tabSelected="1" topLeftCell="A13" workbookViewId="0">
      <selection activeCell="E41" sqref="E41"/>
    </sheetView>
  </sheetViews>
  <sheetFormatPr defaultRowHeight="12.75"/>
  <cols>
    <col min="1" max="1" width="3.7109375" customWidth="1"/>
    <col min="2" max="2" width="27.5703125" customWidth="1"/>
    <col min="3" max="3" width="12.7109375" customWidth="1"/>
    <col min="4" max="4" width="12.28515625" style="8" customWidth="1"/>
    <col min="5" max="5" width="13.5703125" customWidth="1"/>
    <col min="6" max="6" width="12" style="8" customWidth="1"/>
    <col min="7" max="7" width="11.85546875" style="8" customWidth="1"/>
    <col min="8" max="8" width="12.140625" style="8" customWidth="1"/>
    <col min="9" max="9" width="10.140625" bestFit="1" customWidth="1"/>
    <col min="10" max="10" width="12.28515625" style="8" customWidth="1"/>
    <col min="11" max="11" width="9.5703125" style="8" customWidth="1"/>
    <col min="12" max="12" width="12.28515625" style="8" customWidth="1"/>
    <col min="13" max="13" width="11.85546875" customWidth="1"/>
  </cols>
  <sheetData>
    <row r="1" spans="1:13">
      <c r="B1" s="56" t="s">
        <v>58</v>
      </c>
    </row>
    <row r="2" spans="1:13" s="40" customFormat="1" ht="36.75" customHeight="1">
      <c r="A2" s="35" t="s">
        <v>0</v>
      </c>
      <c r="B2" s="36" t="s">
        <v>1</v>
      </c>
      <c r="C2" s="37" t="s">
        <v>2</v>
      </c>
      <c r="D2" s="38" t="s">
        <v>3</v>
      </c>
      <c r="E2" s="36" t="s">
        <v>4</v>
      </c>
      <c r="F2" s="38" t="s">
        <v>5</v>
      </c>
      <c r="G2" s="38" t="s">
        <v>6</v>
      </c>
      <c r="H2" s="38" t="s">
        <v>7</v>
      </c>
      <c r="I2" s="36" t="s">
        <v>8</v>
      </c>
      <c r="J2" s="38" t="s">
        <v>9</v>
      </c>
      <c r="K2" s="53" t="s">
        <v>10</v>
      </c>
      <c r="L2" s="38" t="s">
        <v>11</v>
      </c>
      <c r="M2" s="39" t="s">
        <v>17</v>
      </c>
    </row>
    <row r="3" spans="1:13" ht="12.95" customHeight="1">
      <c r="A3" s="1">
        <v>1</v>
      </c>
      <c r="B3" s="41" t="str">
        <f>октябрь!B3</f>
        <v>Содержание общ.имущ.дома</v>
      </c>
      <c r="C3" s="3">
        <f>323283.56+69819.46</f>
        <v>393103.02</v>
      </c>
      <c r="D3" s="12">
        <f>C3+октябрь!D3</f>
        <v>4127480</v>
      </c>
      <c r="E3" s="4">
        <f>294026.11+57881.15</f>
        <v>351907.26</v>
      </c>
      <c r="F3" s="12">
        <f>E3+октябрь!F3</f>
        <v>3816450.04</v>
      </c>
      <c r="G3" s="12">
        <f>E3-C3</f>
        <v>-41195.760000000009</v>
      </c>
      <c r="H3" s="14">
        <f>F3-D3</f>
        <v>-311029.95999999996</v>
      </c>
      <c r="I3" s="4"/>
      <c r="J3" s="14">
        <f>I3+октябрь!J3</f>
        <v>0</v>
      </c>
      <c r="K3" s="3"/>
      <c r="L3" s="12">
        <f>K3+октябрь!L3</f>
        <v>0</v>
      </c>
      <c r="M3" s="14">
        <f>J3-L3</f>
        <v>0</v>
      </c>
    </row>
    <row r="4" spans="1:13" ht="12.95" customHeight="1">
      <c r="A4" s="1">
        <f>A3+1</f>
        <v>2</v>
      </c>
      <c r="B4" s="41" t="str">
        <f>октябрь!B4</f>
        <v>Отопление</v>
      </c>
      <c r="C4" s="3">
        <f>625147.48+133054.98</f>
        <v>758202.46</v>
      </c>
      <c r="D4" s="12">
        <f>C4+октябрь!D4</f>
        <v>7717464.5099999998</v>
      </c>
      <c r="E4" s="4">
        <f>714202.07+133161.18</f>
        <v>847363.25</v>
      </c>
      <c r="F4" s="12">
        <f>E4+октябрь!F4</f>
        <v>7850685.7000000002</v>
      </c>
      <c r="G4" s="12">
        <f t="shared" ref="G4:H27" si="0">E4-C4</f>
        <v>89160.790000000037</v>
      </c>
      <c r="H4" s="14">
        <f t="shared" si="0"/>
        <v>133221.19000000041</v>
      </c>
      <c r="I4" s="4"/>
      <c r="J4" s="14">
        <f>I4+октябрь!J4</f>
        <v>0</v>
      </c>
      <c r="K4" s="3"/>
      <c r="L4" s="12">
        <f>K4+октябрь!L4</f>
        <v>0</v>
      </c>
      <c r="M4" s="14">
        <f t="shared" ref="M4:M27" si="1">J4-L4</f>
        <v>0</v>
      </c>
    </row>
    <row r="5" spans="1:13" ht="12.95" customHeight="1">
      <c r="A5" s="1">
        <f t="shared" ref="A5:A27" si="2">A4+1</f>
        <v>3</v>
      </c>
      <c r="B5" s="41" t="str">
        <f>октябрь!B5</f>
        <v>Горячее водоснабжение</v>
      </c>
      <c r="C5" s="3">
        <f>444332.06+122137.46</f>
        <v>566469.52</v>
      </c>
      <c r="D5" s="12">
        <f>C5+октябрь!D5</f>
        <v>6249735.2400000002</v>
      </c>
      <c r="E5" s="4">
        <f>386937.72+109534.06</f>
        <v>496471.77999999997</v>
      </c>
      <c r="F5" s="12">
        <f>E5+октябрь!F5</f>
        <v>5620715.1700000009</v>
      </c>
      <c r="G5" s="12">
        <f t="shared" si="0"/>
        <v>-69997.740000000049</v>
      </c>
      <c r="H5" s="14">
        <f t="shared" si="0"/>
        <v>-629020.06999999937</v>
      </c>
      <c r="I5" s="4"/>
      <c r="J5" s="14">
        <f>I5+октябрь!J5</f>
        <v>0</v>
      </c>
      <c r="K5" s="3"/>
      <c r="L5" s="12">
        <f>K5+октябрь!L5</f>
        <v>0</v>
      </c>
      <c r="M5" s="14">
        <f t="shared" si="1"/>
        <v>0</v>
      </c>
    </row>
    <row r="6" spans="1:13" ht="12.95" customHeight="1">
      <c r="A6" s="1">
        <f t="shared" si="2"/>
        <v>4</v>
      </c>
      <c r="B6" s="41" t="str">
        <f>октябрь!B6</f>
        <v>Газ</v>
      </c>
      <c r="C6" s="3">
        <f>7718.49+10854.16</f>
        <v>18572.650000000001</v>
      </c>
      <c r="D6" s="12">
        <f>C6+октябрь!D6</f>
        <v>197610.72999999998</v>
      </c>
      <c r="E6" s="4">
        <f>10533.27+7109.86</f>
        <v>17643.13</v>
      </c>
      <c r="F6" s="12">
        <f>E6+октябрь!F6</f>
        <v>124617.04999999999</v>
      </c>
      <c r="G6" s="12">
        <f t="shared" si="0"/>
        <v>-929.52000000000044</v>
      </c>
      <c r="H6" s="14">
        <f t="shared" si="0"/>
        <v>-72993.679999999993</v>
      </c>
      <c r="I6" s="4"/>
      <c r="J6" s="14">
        <f>I6+октябрь!J6</f>
        <v>0</v>
      </c>
      <c r="K6" s="3"/>
      <c r="L6" s="12">
        <f>K6+октябрь!L6</f>
        <v>0</v>
      </c>
      <c r="M6" s="14">
        <f t="shared" si="1"/>
        <v>0</v>
      </c>
    </row>
    <row r="7" spans="1:13" ht="12.95" customHeight="1">
      <c r="A7" s="1">
        <f t="shared" si="2"/>
        <v>5</v>
      </c>
      <c r="B7" s="41" t="str">
        <f>октябрь!B7</f>
        <v>Со.и ремонт АППЗ</v>
      </c>
      <c r="C7" s="3">
        <f>4594.34+826.85</f>
        <v>5421.1900000000005</v>
      </c>
      <c r="D7" s="12">
        <f>C7+октябрь!D7</f>
        <v>58781.89</v>
      </c>
      <c r="E7" s="4">
        <f>4217.63+550.55</f>
        <v>4768.18</v>
      </c>
      <c r="F7" s="12">
        <f>E7+октябрь!F7</f>
        <v>56888.23</v>
      </c>
      <c r="G7" s="12">
        <f t="shared" si="0"/>
        <v>-653.01000000000022</v>
      </c>
      <c r="H7" s="14">
        <f t="shared" si="0"/>
        <v>-1893.6599999999962</v>
      </c>
      <c r="I7" s="4"/>
      <c r="J7" s="14">
        <f>I7+октябрь!J7</f>
        <v>0</v>
      </c>
      <c r="K7" s="3"/>
      <c r="L7" s="12">
        <f>K7+октябрь!L7</f>
        <v>0</v>
      </c>
      <c r="M7" s="14">
        <f t="shared" si="1"/>
        <v>0</v>
      </c>
    </row>
    <row r="8" spans="1:13" ht="12.95" customHeight="1">
      <c r="A8" s="1">
        <f t="shared" si="2"/>
        <v>6</v>
      </c>
      <c r="B8" s="41" t="str">
        <f>октябрь!B8</f>
        <v>Сод.и ремонт лифтов</v>
      </c>
      <c r="C8" s="3">
        <f>26832.48+4942.72</f>
        <v>31775.200000000001</v>
      </c>
      <c r="D8" s="12">
        <f>C8+октябрь!D8</f>
        <v>363291.24000000005</v>
      </c>
      <c r="E8" s="4">
        <f>24684.87+3371.28</f>
        <v>28056.149999999998</v>
      </c>
      <c r="F8" s="12">
        <f>E8+октябрь!F8</f>
        <v>360678.04</v>
      </c>
      <c r="G8" s="12">
        <f t="shared" si="0"/>
        <v>-3719.0500000000029</v>
      </c>
      <c r="H8" s="14">
        <f t="shared" si="0"/>
        <v>-2613.2000000000698</v>
      </c>
      <c r="I8" s="4"/>
      <c r="J8" s="14">
        <f>I8+октябрь!J8</f>
        <v>0</v>
      </c>
      <c r="K8" s="3"/>
      <c r="L8" s="12">
        <f>K8+октябрь!L8</f>
        <v>0</v>
      </c>
      <c r="M8" s="14">
        <f t="shared" si="1"/>
        <v>0</v>
      </c>
    </row>
    <row r="9" spans="1:13" ht="12.95" customHeight="1">
      <c r="A9" s="1">
        <f t="shared" si="2"/>
        <v>7</v>
      </c>
      <c r="B9" s="41" t="str">
        <f>октябрь!B9</f>
        <v>Очистка мусоропроводов</v>
      </c>
      <c r="C9" s="3">
        <f>16203.82+2987.9</f>
        <v>19191.72</v>
      </c>
      <c r="D9" s="12">
        <f>C9+октябрь!D9</f>
        <v>196396.9</v>
      </c>
      <c r="E9" s="4">
        <f>14816.05+1972.15</f>
        <v>16788.2</v>
      </c>
      <c r="F9" s="12">
        <f>E9+октябрь!F9</f>
        <v>186482.91</v>
      </c>
      <c r="G9" s="12">
        <f t="shared" si="0"/>
        <v>-2403.5200000000004</v>
      </c>
      <c r="H9" s="14">
        <f t="shared" si="0"/>
        <v>-9913.9899999999907</v>
      </c>
      <c r="I9" s="4"/>
      <c r="J9" s="14">
        <f>I9+октябрь!J9</f>
        <v>0</v>
      </c>
      <c r="K9" s="3"/>
      <c r="L9" s="12">
        <f>K9+октябрь!L9</f>
        <v>0</v>
      </c>
      <c r="M9" s="14">
        <f t="shared" si="1"/>
        <v>0</v>
      </c>
    </row>
    <row r="10" spans="1:13" ht="12.95" customHeight="1">
      <c r="A10" s="1">
        <f t="shared" si="2"/>
        <v>8</v>
      </c>
      <c r="B10" s="41" t="str">
        <f>октябрь!B10</f>
        <v>Уборка и сан.очистка зем.уч.</v>
      </c>
      <c r="C10" s="3">
        <f>48882.98+10543.05</f>
        <v>59426.03</v>
      </c>
      <c r="D10" s="12">
        <f>C10+октябрь!D10</f>
        <v>629560.56000000006</v>
      </c>
      <c r="E10" s="4">
        <f>44418.5+8646.67</f>
        <v>53065.17</v>
      </c>
      <c r="F10" s="12">
        <f>E10+октябрь!F10</f>
        <v>580635.88</v>
      </c>
      <c r="G10" s="12">
        <f t="shared" si="0"/>
        <v>-6360.8600000000006</v>
      </c>
      <c r="H10" s="14">
        <f t="shared" si="0"/>
        <v>-48924.680000000051</v>
      </c>
      <c r="I10" s="4"/>
      <c r="J10" s="14">
        <f>I10+октябрь!J10</f>
        <v>0</v>
      </c>
      <c r="K10" s="3"/>
      <c r="L10" s="12">
        <f>K10+октябрь!L10</f>
        <v>0</v>
      </c>
      <c r="M10" s="14">
        <f t="shared" si="1"/>
        <v>0</v>
      </c>
    </row>
    <row r="11" spans="1:13" ht="12.95" customHeight="1">
      <c r="A11" s="1">
        <f t="shared" si="2"/>
        <v>9</v>
      </c>
      <c r="B11" s="41" t="str">
        <f>октябрь!B11</f>
        <v>Электроснабжение (инд.потр)</v>
      </c>
      <c r="C11" s="3">
        <f>272208.96+68103.95</f>
        <v>340312.91000000003</v>
      </c>
      <c r="D11" s="12">
        <f>C11+октябрь!D11</f>
        <v>3613710.4799999995</v>
      </c>
      <c r="E11" s="4">
        <f>237146.55+58542.84</f>
        <v>295689.39</v>
      </c>
      <c r="F11" s="12">
        <f>E11+октябрь!F11</f>
        <v>3337622.7700000005</v>
      </c>
      <c r="G11" s="12">
        <f t="shared" si="0"/>
        <v>-44623.520000000019</v>
      </c>
      <c r="H11" s="14">
        <f t="shared" si="0"/>
        <v>-276087.70999999903</v>
      </c>
      <c r="I11" s="4"/>
      <c r="J11" s="14">
        <f>I11+октябрь!J11</f>
        <v>0</v>
      </c>
      <c r="K11" s="3"/>
      <c r="L11" s="12">
        <f>K11+октябрь!L11</f>
        <v>0</v>
      </c>
      <c r="M11" s="14">
        <f t="shared" si="1"/>
        <v>0</v>
      </c>
    </row>
    <row r="12" spans="1:13" ht="12.95" customHeight="1">
      <c r="A12" s="1">
        <f t="shared" si="2"/>
        <v>10</v>
      </c>
      <c r="B12" s="41" t="str">
        <f>октябрь!B12</f>
        <v>Холодная вода</v>
      </c>
      <c r="C12" s="3">
        <f>226773.12+66625.6</f>
        <v>293398.71999999997</v>
      </c>
      <c r="D12" s="12">
        <f>C12+октябрь!D12</f>
        <v>3132688.8899999997</v>
      </c>
      <c r="E12" s="4">
        <f>216054.14+53417.02</f>
        <v>269471.16000000003</v>
      </c>
      <c r="F12" s="12">
        <f>E12+октябрь!F12</f>
        <v>2741278.5300000003</v>
      </c>
      <c r="G12" s="12">
        <f t="shared" si="0"/>
        <v>-23927.559999999939</v>
      </c>
      <c r="H12" s="14">
        <f t="shared" si="0"/>
        <v>-391410.3599999994</v>
      </c>
      <c r="I12" s="4"/>
      <c r="J12" s="14">
        <f>I12+октябрь!J12</f>
        <v>0</v>
      </c>
      <c r="K12" s="3"/>
      <c r="L12" s="12">
        <f>K12+октябрь!L12</f>
        <v>0</v>
      </c>
      <c r="M12" s="14">
        <f t="shared" si="1"/>
        <v>0</v>
      </c>
    </row>
    <row r="13" spans="1:13" ht="12.95" customHeight="1">
      <c r="A13" s="1">
        <f t="shared" si="2"/>
        <v>11</v>
      </c>
      <c r="B13" s="41" t="str">
        <f>октябрь!B13</f>
        <v>Канализирование х. воды</v>
      </c>
      <c r="C13" s="3">
        <v>0</v>
      </c>
      <c r="D13" s="12">
        <f>C13+октябрь!D13</f>
        <v>-2210.14</v>
      </c>
      <c r="E13" s="4">
        <v>0</v>
      </c>
      <c r="F13" s="12">
        <f>E13+октябрь!F13</f>
        <v>4104.78</v>
      </c>
      <c r="G13" s="12">
        <f t="shared" si="0"/>
        <v>0</v>
      </c>
      <c r="H13" s="14">
        <f t="shared" si="0"/>
        <v>6314.92</v>
      </c>
      <c r="I13" s="4"/>
      <c r="J13" s="14">
        <f>I13+октябрь!J13</f>
        <v>0</v>
      </c>
      <c r="K13" s="3"/>
      <c r="L13" s="12">
        <f>K13+октябрь!L13</f>
        <v>0</v>
      </c>
      <c r="M13" s="14">
        <f t="shared" si="1"/>
        <v>0</v>
      </c>
    </row>
    <row r="14" spans="1:13" ht="12.95" customHeight="1">
      <c r="A14" s="1">
        <f t="shared" si="2"/>
        <v>12</v>
      </c>
      <c r="B14" s="41" t="str">
        <f>октябрь!B14</f>
        <v>Канализирование г. воды</v>
      </c>
      <c r="C14" s="3">
        <v>0</v>
      </c>
      <c r="D14" s="12">
        <f>C14+октябрь!D14</f>
        <v>-1504.92</v>
      </c>
      <c r="E14" s="4">
        <v>0</v>
      </c>
      <c r="F14" s="12">
        <f>E14+октябрь!F14</f>
        <v>2029.9000000000003</v>
      </c>
      <c r="G14" s="12">
        <f t="shared" si="0"/>
        <v>0</v>
      </c>
      <c r="H14" s="14">
        <f t="shared" si="0"/>
        <v>3534.8200000000006</v>
      </c>
      <c r="I14" s="4"/>
      <c r="J14" s="14">
        <f>I14+октябрь!J14</f>
        <v>0</v>
      </c>
      <c r="K14" s="3"/>
      <c r="L14" s="12">
        <f>K14+октябрь!L14</f>
        <v>0</v>
      </c>
      <c r="M14" s="14">
        <f t="shared" si="1"/>
        <v>0</v>
      </c>
    </row>
    <row r="15" spans="1:13" ht="12.95" customHeight="1">
      <c r="A15" s="1">
        <f t="shared" si="2"/>
        <v>13</v>
      </c>
      <c r="B15" s="41" t="str">
        <f>октябрь!B15</f>
        <v>Тек.рем.общ.имущ.дома</v>
      </c>
      <c r="C15" s="3">
        <f>161470.19+34825.53</f>
        <v>196295.72</v>
      </c>
      <c r="D15" s="12">
        <f>C15+октябрь!D15</f>
        <v>2108213.94</v>
      </c>
      <c r="E15" s="4">
        <f>147131.44+29267.58</f>
        <v>176399.02000000002</v>
      </c>
      <c r="F15" s="12">
        <f>E15+октябрь!F15</f>
        <v>1968466.0699999996</v>
      </c>
      <c r="G15" s="12">
        <f t="shared" si="0"/>
        <v>-19896.699999999983</v>
      </c>
      <c r="H15" s="14">
        <f t="shared" si="0"/>
        <v>-139747.87000000034</v>
      </c>
      <c r="I15" s="4"/>
      <c r="J15" s="14">
        <f>I15+октябрь!J15</f>
        <v>0</v>
      </c>
      <c r="K15" s="3"/>
      <c r="L15" s="12">
        <f>K15+октябрь!L15</f>
        <v>0</v>
      </c>
      <c r="M15" s="14">
        <f t="shared" si="1"/>
        <v>0</v>
      </c>
    </row>
    <row r="16" spans="1:13" ht="12.95" customHeight="1">
      <c r="A16" s="1">
        <f t="shared" si="2"/>
        <v>14</v>
      </c>
      <c r="B16" s="41" t="str">
        <f>октябрь!B16</f>
        <v>Сод.и тек.рем.в/дом.газосн.</v>
      </c>
      <c r="C16" s="3">
        <f>9913.47+2166.17</f>
        <v>12079.64</v>
      </c>
      <c r="D16" s="12">
        <f>C16+октябрь!D16</f>
        <v>131700.66</v>
      </c>
      <c r="E16" s="4">
        <f>8947.74+1950.46</f>
        <v>10898.2</v>
      </c>
      <c r="F16" s="12">
        <f>E16+октябрь!F16</f>
        <v>120634.29</v>
      </c>
      <c r="G16" s="12">
        <f t="shared" si="0"/>
        <v>-1181.4399999999987</v>
      </c>
      <c r="H16" s="14">
        <f t="shared" si="0"/>
        <v>-11066.37000000001</v>
      </c>
      <c r="I16" s="4"/>
      <c r="J16" s="14">
        <f>I16+октябрь!J16</f>
        <v>0</v>
      </c>
      <c r="K16" s="3"/>
      <c r="L16" s="12">
        <f>K16+октябрь!L16</f>
        <v>0</v>
      </c>
      <c r="M16" s="14">
        <f t="shared" si="1"/>
        <v>0</v>
      </c>
    </row>
    <row r="17" spans="1:13" ht="12.95" customHeight="1">
      <c r="A17" s="1">
        <f t="shared" si="2"/>
        <v>15</v>
      </c>
      <c r="B17" s="41" t="str">
        <f>октябрь!B17</f>
        <v>Управление многокв.домом</v>
      </c>
      <c r="C17" s="3">
        <f>77709.71+16755.3</f>
        <v>94465.010000000009</v>
      </c>
      <c r="D17" s="12">
        <f>C17+октябрь!D17</f>
        <v>937864.84000000008</v>
      </c>
      <c r="E17" s="4">
        <f>70230.73+13192.72</f>
        <v>83423.45</v>
      </c>
      <c r="F17" s="12">
        <f>E17+октябрь!F17</f>
        <v>846072.06</v>
      </c>
      <c r="G17" s="12">
        <f t="shared" si="0"/>
        <v>-11041.560000000012</v>
      </c>
      <c r="H17" s="14">
        <f t="shared" si="0"/>
        <v>-91792.780000000028</v>
      </c>
      <c r="I17" s="4"/>
      <c r="J17" s="14">
        <f>I17+октябрь!J17</f>
        <v>0</v>
      </c>
      <c r="K17" s="3"/>
      <c r="L17" s="12">
        <f>K17+октябрь!L17</f>
        <v>0</v>
      </c>
      <c r="M17" s="14">
        <f t="shared" si="1"/>
        <v>0</v>
      </c>
    </row>
    <row r="18" spans="1:13" ht="12.95" customHeight="1">
      <c r="A18" s="1">
        <f t="shared" si="2"/>
        <v>16</v>
      </c>
      <c r="B18" s="41" t="str">
        <f>октябрь!B18</f>
        <v>Водоотведение (кв)</v>
      </c>
      <c r="C18" s="3">
        <f>354537.96+101710.25</f>
        <v>456248.21</v>
      </c>
      <c r="D18" s="12">
        <f>C18+октябрь!D18</f>
        <v>4899407.72</v>
      </c>
      <c r="E18" s="4">
        <f>328133.21+85310.99</f>
        <v>413444.2</v>
      </c>
      <c r="F18" s="12">
        <f>E18+октябрь!F18</f>
        <v>4334977.9000000004</v>
      </c>
      <c r="G18" s="12">
        <f t="shared" si="0"/>
        <v>-42804.010000000009</v>
      </c>
      <c r="H18" s="14">
        <f t="shared" si="0"/>
        <v>-564429.81999999937</v>
      </c>
      <c r="I18" s="4"/>
      <c r="J18" s="14">
        <f>I18+октябрь!J18</f>
        <v>0</v>
      </c>
      <c r="K18" s="3"/>
      <c r="L18" s="12">
        <f>K18+октябрь!L18</f>
        <v>0</v>
      </c>
      <c r="M18" s="14">
        <f t="shared" si="1"/>
        <v>0</v>
      </c>
    </row>
    <row r="19" spans="1:13" ht="12.95" customHeight="1">
      <c r="A19" s="1">
        <f t="shared" si="2"/>
        <v>17</v>
      </c>
      <c r="B19" s="41" t="str">
        <f>октябрь!B19</f>
        <v>Электроснабж.на общед.нужды</v>
      </c>
      <c r="C19" s="3">
        <f>5938.9+1164.9</f>
        <v>7103.7999999999993</v>
      </c>
      <c r="D19" s="12">
        <f>C19+октябрь!D19</f>
        <v>75122.030000000013</v>
      </c>
      <c r="E19" s="4">
        <f>5217.95+901.65</f>
        <v>6119.5999999999995</v>
      </c>
      <c r="F19" s="12">
        <f>E19+октябрь!F19</f>
        <v>72732.38</v>
      </c>
      <c r="G19" s="12">
        <f t="shared" si="0"/>
        <v>-984.19999999999982</v>
      </c>
      <c r="H19" s="14">
        <f t="shared" si="0"/>
        <v>-2389.6500000000087</v>
      </c>
      <c r="I19" s="4"/>
      <c r="J19" s="14">
        <f>I19+октябрь!J19</f>
        <v>0</v>
      </c>
      <c r="K19" s="3"/>
      <c r="L19" s="12">
        <f>K19+октябрь!L19</f>
        <v>0</v>
      </c>
      <c r="M19" s="14">
        <f t="shared" si="1"/>
        <v>0</v>
      </c>
    </row>
    <row r="20" spans="1:13" ht="12.95" customHeight="1">
      <c r="A20" s="1">
        <f t="shared" si="2"/>
        <v>18</v>
      </c>
      <c r="B20" s="41" t="str">
        <f>октябрь!B20</f>
        <v>Эксплуатация общед. ПУ</v>
      </c>
      <c r="C20" s="3">
        <f>14995.91+2807.66</f>
        <v>17803.57</v>
      </c>
      <c r="D20" s="12">
        <f>C20+октябрь!D20</f>
        <v>190603.2</v>
      </c>
      <c r="E20" s="4">
        <f>13281.98+2371.9</f>
        <v>15653.88</v>
      </c>
      <c r="F20" s="12">
        <f>E20+октябрь!F20</f>
        <v>180472.58</v>
      </c>
      <c r="G20" s="12">
        <f t="shared" si="0"/>
        <v>-2149.6900000000005</v>
      </c>
      <c r="H20" s="14">
        <f t="shared" si="0"/>
        <v>-10130.620000000024</v>
      </c>
      <c r="I20" s="4"/>
      <c r="J20" s="14">
        <f>I20+октябрь!J20</f>
        <v>0</v>
      </c>
      <c r="K20" s="3"/>
      <c r="L20" s="12">
        <f>K20+октябрь!L20</f>
        <v>0</v>
      </c>
      <c r="M20" s="14">
        <f t="shared" si="1"/>
        <v>0</v>
      </c>
    </row>
    <row r="21" spans="1:13" ht="12.95" customHeight="1">
      <c r="A21" s="1">
        <f t="shared" si="2"/>
        <v>19</v>
      </c>
      <c r="B21" s="41" t="str">
        <f>октябрь!B21</f>
        <v>Хол.водоснабж.(о/д нужды)</v>
      </c>
      <c r="C21" s="3">
        <f>6019.74+1153.98</f>
        <v>7173.7199999999993</v>
      </c>
      <c r="D21" s="12">
        <f>C21+октябрь!D21</f>
        <v>74149.52</v>
      </c>
      <c r="E21" s="4">
        <f>5666.75+871.82</f>
        <v>6538.57</v>
      </c>
      <c r="F21" s="12">
        <f>E21+октябрь!F21</f>
        <v>77453.01999999999</v>
      </c>
      <c r="G21" s="12">
        <f t="shared" si="0"/>
        <v>-635.14999999999964</v>
      </c>
      <c r="H21" s="14">
        <f t="shared" si="0"/>
        <v>3303.4999999999854</v>
      </c>
      <c r="I21" s="4"/>
      <c r="J21" s="14">
        <f>I21+октябрь!J21</f>
        <v>0</v>
      </c>
      <c r="K21" s="3"/>
      <c r="L21" s="12">
        <f>K21+октябрь!L21</f>
        <v>0</v>
      </c>
      <c r="M21" s="14">
        <f t="shared" si="1"/>
        <v>0</v>
      </c>
    </row>
    <row r="22" spans="1:13" ht="12.95" customHeight="1">
      <c r="A22" s="1">
        <f t="shared" si="2"/>
        <v>20</v>
      </c>
      <c r="B22" s="41" t="str">
        <f>октябрь!B22</f>
        <v>Водоотведение(о/д нужды)</v>
      </c>
      <c r="C22" s="3">
        <v>0</v>
      </c>
      <c r="D22" s="12">
        <f>C22+октябрь!D22</f>
        <v>118323.09999999999</v>
      </c>
      <c r="E22" s="4">
        <v>0</v>
      </c>
      <c r="F22" s="12">
        <f>E22+октябрь!F22</f>
        <v>152890.67000000001</v>
      </c>
      <c r="G22" s="12">
        <f t="shared" si="0"/>
        <v>0</v>
      </c>
      <c r="H22" s="14">
        <f t="shared" si="0"/>
        <v>34567.570000000022</v>
      </c>
      <c r="I22" s="4"/>
      <c r="J22" s="14">
        <f>I22+октябрь!J22</f>
        <v>0</v>
      </c>
      <c r="K22" s="3"/>
      <c r="L22" s="12">
        <f>K22+октябрь!L22</f>
        <v>0</v>
      </c>
      <c r="M22" s="14">
        <f t="shared" si="1"/>
        <v>0</v>
      </c>
    </row>
    <row r="23" spans="1:13" ht="12.95" customHeight="1">
      <c r="A23" s="1">
        <f t="shared" si="2"/>
        <v>21</v>
      </c>
      <c r="B23" s="41" t="str">
        <f>октябрь!B23</f>
        <v>Отопление (о/д нужды)</v>
      </c>
      <c r="C23" s="3">
        <v>0</v>
      </c>
      <c r="D23" s="12">
        <f>C23+октябрь!D23</f>
        <v>-848.48</v>
      </c>
      <c r="E23" s="4">
        <v>0</v>
      </c>
      <c r="F23" s="12">
        <f>E23+октябрь!F23</f>
        <v>1598.5200000000002</v>
      </c>
      <c r="G23" s="12">
        <f t="shared" si="0"/>
        <v>0</v>
      </c>
      <c r="H23" s="14">
        <f t="shared" si="0"/>
        <v>2447</v>
      </c>
      <c r="I23" s="4"/>
      <c r="J23" s="14">
        <f>I23+октябрь!J23</f>
        <v>0</v>
      </c>
      <c r="K23" s="3"/>
      <c r="L23" s="12">
        <f>K23+октябрь!L23</f>
        <v>0</v>
      </c>
      <c r="M23" s="14">
        <f t="shared" si="1"/>
        <v>0</v>
      </c>
    </row>
    <row r="24" spans="1:13" ht="12.95" customHeight="1">
      <c r="A24" s="1">
        <f t="shared" si="2"/>
        <v>22</v>
      </c>
      <c r="B24" s="41" t="str">
        <f>октябрь!B24</f>
        <v>Электроснабжение (общед.н)</v>
      </c>
      <c r="C24" s="3">
        <f>161648.49+30379.69+10131.04</f>
        <v>202159.22</v>
      </c>
      <c r="D24" s="12">
        <f>C24+октябрь!D24</f>
        <v>1827607.43</v>
      </c>
      <c r="E24" s="4">
        <f>109165.46+22942.85+13485.64</f>
        <v>145593.95000000001</v>
      </c>
      <c r="F24" s="12">
        <f>E24+октябрь!F24</f>
        <v>1888188.92</v>
      </c>
      <c r="G24" s="12">
        <f t="shared" si="0"/>
        <v>-56565.26999999999</v>
      </c>
      <c r="H24" s="14">
        <f t="shared" si="0"/>
        <v>60581.489999999991</v>
      </c>
      <c r="I24" s="4"/>
      <c r="J24" s="14">
        <f>I24+октябрь!J24</f>
        <v>0</v>
      </c>
      <c r="K24" s="3"/>
      <c r="L24" s="12">
        <f>K24+октябрь!L24</f>
        <v>0</v>
      </c>
      <c r="M24" s="14">
        <f t="shared" si="1"/>
        <v>0</v>
      </c>
    </row>
    <row r="25" spans="1:13" ht="12.95" customHeight="1">
      <c r="A25" s="1">
        <f t="shared" si="2"/>
        <v>23</v>
      </c>
      <c r="B25" s="41" t="str">
        <f>октябрь!B25</f>
        <v>Гор.водоснабж.(о/д нужды)</v>
      </c>
      <c r="C25" s="3">
        <f>11625.02+2275.36</f>
        <v>13900.380000000001</v>
      </c>
      <c r="D25" s="12">
        <f>C25+октябрь!D25</f>
        <v>173638.18000000002</v>
      </c>
      <c r="E25" s="4">
        <f>10381.48+1712.29</f>
        <v>12093.77</v>
      </c>
      <c r="F25" s="12">
        <f>E25+октябрь!F25</f>
        <v>170905.49999999997</v>
      </c>
      <c r="G25" s="12">
        <f t="shared" si="0"/>
        <v>-1806.6100000000006</v>
      </c>
      <c r="H25" s="14">
        <f t="shared" si="0"/>
        <v>-2732.6800000000512</v>
      </c>
      <c r="I25" s="4"/>
      <c r="J25" s="14">
        <f>I25+октябрь!J25</f>
        <v>0</v>
      </c>
      <c r="K25" s="3"/>
      <c r="L25" s="12">
        <f>K25+октябрь!L25</f>
        <v>0</v>
      </c>
      <c r="M25" s="14">
        <f t="shared" si="1"/>
        <v>0</v>
      </c>
    </row>
    <row r="26" spans="1:13" ht="12.95" customHeight="1">
      <c r="A26" s="1">
        <f t="shared" si="2"/>
        <v>24</v>
      </c>
      <c r="B26" s="41" t="str">
        <f>октябрь!B26</f>
        <v>Капитальный ремонт</v>
      </c>
      <c r="C26" s="3">
        <v>0</v>
      </c>
      <c r="D26" s="12">
        <f>C26+октябрь!D26</f>
        <v>0</v>
      </c>
      <c r="E26" s="4">
        <v>0</v>
      </c>
      <c r="F26" s="12">
        <f>E26+октябрь!F26</f>
        <v>0</v>
      </c>
      <c r="G26" s="12">
        <f t="shared" si="0"/>
        <v>0</v>
      </c>
      <c r="H26" s="14">
        <f t="shared" si="0"/>
        <v>0</v>
      </c>
      <c r="I26" s="4"/>
      <c r="J26" s="14">
        <f>I26+октябрь!J26</f>
        <v>0</v>
      </c>
      <c r="K26" s="3"/>
      <c r="L26" s="12">
        <f>K26+октябрь!L26</f>
        <v>0</v>
      </c>
      <c r="M26" s="14">
        <f t="shared" si="1"/>
        <v>0</v>
      </c>
    </row>
    <row r="27" spans="1:13" ht="12.95" customHeight="1">
      <c r="A27" s="1">
        <f t="shared" si="2"/>
        <v>25</v>
      </c>
      <c r="B27" s="41" t="str">
        <f>октябрь!B27</f>
        <v>Уборка лестн. Кл</v>
      </c>
      <c r="C27" s="3">
        <v>0</v>
      </c>
      <c r="D27" s="12">
        <f>C27+октябрь!D27</f>
        <v>4670.8500000000004</v>
      </c>
      <c r="E27" s="4">
        <v>0</v>
      </c>
      <c r="F27" s="12">
        <f>E27+октябрь!F27</f>
        <v>2749.94</v>
      </c>
      <c r="G27" s="12">
        <f t="shared" si="0"/>
        <v>0</v>
      </c>
      <c r="H27" s="14">
        <f t="shared" si="0"/>
        <v>-1920.9100000000003</v>
      </c>
      <c r="I27" s="4"/>
      <c r="J27" s="14">
        <f>I27+октябрь!J27</f>
        <v>0</v>
      </c>
      <c r="K27" s="3"/>
      <c r="L27" s="12">
        <f>K27+октябрь!L27</f>
        <v>0</v>
      </c>
      <c r="M27" s="14">
        <f t="shared" si="1"/>
        <v>0</v>
      </c>
    </row>
    <row r="28" spans="1:13" s="8" customFormat="1" ht="13.5" customHeight="1">
      <c r="A28" s="18"/>
      <c r="B28" s="17" t="s">
        <v>12</v>
      </c>
      <c r="C28" s="13">
        <f t="shared" ref="C28:L28" si="3">SUM(C3:C27)</f>
        <v>3493102.69</v>
      </c>
      <c r="D28" s="13">
        <f t="shared" si="3"/>
        <v>36823458.370000012</v>
      </c>
      <c r="E28" s="15">
        <f t="shared" si="3"/>
        <v>3251388.3100000005</v>
      </c>
      <c r="F28" s="13">
        <f t="shared" si="3"/>
        <v>34499330.849999994</v>
      </c>
      <c r="G28" s="13">
        <f t="shared" si="3"/>
        <v>-241714.38</v>
      </c>
      <c r="H28" s="15">
        <f t="shared" si="3"/>
        <v>-2324127.5199999972</v>
      </c>
      <c r="I28" s="15">
        <f t="shared" si="3"/>
        <v>0</v>
      </c>
      <c r="J28" s="15">
        <f t="shared" si="3"/>
        <v>0</v>
      </c>
      <c r="K28" s="13">
        <f t="shared" si="3"/>
        <v>0</v>
      </c>
      <c r="L28" s="13">
        <f t="shared" si="3"/>
        <v>0</v>
      </c>
      <c r="M28" s="15">
        <f>SUM(M3:M27)</f>
        <v>0</v>
      </c>
    </row>
    <row r="30" spans="1:13" ht="6.75" customHeight="1"/>
    <row r="31" spans="1:13">
      <c r="B31" s="57" t="s">
        <v>42</v>
      </c>
      <c r="C31" s="58">
        <f>C12+C13+C14+C18+C21+C22</f>
        <v>756820.64999999991</v>
      </c>
      <c r="D31" s="58">
        <f t="shared" ref="D31:L31" si="4">D12+D13+D14+D18+D21+D22</f>
        <v>8220854.1699999981</v>
      </c>
      <c r="E31" s="58">
        <f t="shared" si="4"/>
        <v>689453.93</v>
      </c>
      <c r="F31" s="58">
        <f t="shared" si="4"/>
        <v>7312734.7999999998</v>
      </c>
      <c r="G31" s="58">
        <f t="shared" si="4"/>
        <v>-67366.719999999943</v>
      </c>
      <c r="H31" s="58">
        <f t="shared" si="4"/>
        <v>-908119.36999999871</v>
      </c>
      <c r="I31" s="58">
        <f t="shared" si="4"/>
        <v>0</v>
      </c>
      <c r="J31" s="58">
        <f t="shared" si="4"/>
        <v>0</v>
      </c>
      <c r="K31" s="58">
        <f t="shared" si="4"/>
        <v>0</v>
      </c>
      <c r="L31" s="58">
        <f t="shared" si="4"/>
        <v>0</v>
      </c>
    </row>
    <row r="32" spans="1:13">
      <c r="B32" s="57" t="s">
        <v>43</v>
      </c>
      <c r="C32" s="58">
        <f t="shared" ref="C32:L32" si="5">C11+C24+C19</f>
        <v>549575.93000000005</v>
      </c>
      <c r="D32" s="58">
        <f t="shared" si="5"/>
        <v>5516439.9399999995</v>
      </c>
      <c r="E32" s="58">
        <f t="shared" si="5"/>
        <v>447402.94</v>
      </c>
      <c r="F32" s="58">
        <f t="shared" si="5"/>
        <v>5298544.07</v>
      </c>
      <c r="G32" s="58">
        <f t="shared" si="5"/>
        <v>-102172.99</v>
      </c>
      <c r="H32" s="58">
        <f t="shared" si="5"/>
        <v>-217895.86999999906</v>
      </c>
      <c r="I32" s="58">
        <f t="shared" si="5"/>
        <v>0</v>
      </c>
      <c r="J32" s="58">
        <f t="shared" si="5"/>
        <v>0</v>
      </c>
      <c r="K32" s="58">
        <f t="shared" si="5"/>
        <v>0</v>
      </c>
      <c r="L32" s="58">
        <f t="shared" si="5"/>
        <v>0</v>
      </c>
    </row>
    <row r="33" spans="2:12">
      <c r="B33" s="57" t="s">
        <v>44</v>
      </c>
      <c r="C33" s="58">
        <f>C4+C5+C23+C25</f>
        <v>1338572.3599999999</v>
      </c>
      <c r="D33" s="58">
        <f t="shared" ref="D33:L33" si="6">D4+D5+D23+D25</f>
        <v>14139989.449999999</v>
      </c>
      <c r="E33" s="58">
        <f t="shared" si="6"/>
        <v>1355928.8</v>
      </c>
      <c r="F33" s="58">
        <f t="shared" si="6"/>
        <v>13643904.890000001</v>
      </c>
      <c r="G33" s="58">
        <f t="shared" si="6"/>
        <v>17356.439999999988</v>
      </c>
      <c r="H33" s="58">
        <f t="shared" si="6"/>
        <v>-496084.55999999901</v>
      </c>
      <c r="I33" s="58">
        <f t="shared" si="6"/>
        <v>0</v>
      </c>
      <c r="J33" s="58">
        <f t="shared" si="6"/>
        <v>0</v>
      </c>
      <c r="K33" s="58">
        <f t="shared" si="6"/>
        <v>0</v>
      </c>
      <c r="L33" s="58">
        <f t="shared" si="6"/>
        <v>0</v>
      </c>
    </row>
    <row r="36" spans="2:12">
      <c r="C36">
        <f>2809967.72+683134.97</f>
        <v>3493102.6900000004</v>
      </c>
      <c r="E36">
        <f>2658679.29+592709.02</f>
        <v>3251388.31</v>
      </c>
    </row>
    <row r="38" spans="2:12">
      <c r="E38" s="6"/>
      <c r="F38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F27" sqref="F27"/>
    </sheetView>
  </sheetViews>
  <sheetFormatPr defaultRowHeight="12.75"/>
  <cols>
    <col min="1" max="1" width="3.7109375" customWidth="1"/>
    <col min="2" max="2" width="33" customWidth="1"/>
    <col min="3" max="3" width="15.28515625" customWidth="1"/>
    <col min="4" max="4" width="16.5703125" style="8" customWidth="1"/>
    <col min="5" max="5" width="14.85546875" style="8" customWidth="1"/>
    <col min="6" max="6" width="17.28515625" style="8" customWidth="1"/>
    <col min="7" max="7" width="13.85546875" style="8" customWidth="1"/>
    <col min="8" max="8" width="14.42578125" style="8" customWidth="1"/>
    <col min="9" max="9" width="11.5703125" style="8" bestFit="1" customWidth="1"/>
    <col min="10" max="10" width="12" style="8" customWidth="1"/>
    <col min="11" max="11" width="11.5703125" bestFit="1" customWidth="1"/>
    <col min="12" max="12" width="10.85546875" customWidth="1"/>
    <col min="13" max="13" width="10.7109375" bestFit="1" customWidth="1"/>
  </cols>
  <sheetData>
    <row r="1" spans="1:13" ht="24" customHeight="1">
      <c r="B1" s="56" t="s">
        <v>59</v>
      </c>
    </row>
    <row r="2" spans="1:13" s="40" customFormat="1" ht="25.5">
      <c r="A2" s="35" t="s">
        <v>0</v>
      </c>
      <c r="B2" s="36" t="s">
        <v>1</v>
      </c>
      <c r="C2" s="37" t="s">
        <v>2</v>
      </c>
      <c r="D2" s="38" t="s">
        <v>3</v>
      </c>
      <c r="E2" s="53" t="s">
        <v>4</v>
      </c>
      <c r="F2" s="38" t="s">
        <v>5</v>
      </c>
      <c r="G2" s="38" t="s">
        <v>6</v>
      </c>
      <c r="H2" s="38" t="s">
        <v>7</v>
      </c>
      <c r="I2" s="53" t="s">
        <v>8</v>
      </c>
      <c r="J2" s="38" t="s">
        <v>9</v>
      </c>
      <c r="K2" s="36" t="s">
        <v>10</v>
      </c>
      <c r="L2" s="38" t="s">
        <v>11</v>
      </c>
      <c r="M2" s="39" t="s">
        <v>17</v>
      </c>
    </row>
    <row r="3" spans="1:13" ht="12.95" customHeight="1">
      <c r="A3" s="1">
        <v>1</v>
      </c>
      <c r="B3" s="41" t="str">
        <f>ноябрь!B3</f>
        <v>Содержание общ.имущ.дома</v>
      </c>
      <c r="C3" s="81">
        <f>68664.1+323987.11</f>
        <v>392651.20999999996</v>
      </c>
      <c r="D3" s="82">
        <f>C3+ноябрь!D3</f>
        <v>4520131.21</v>
      </c>
      <c r="E3" s="83">
        <f>70025.48+360135.47</f>
        <v>430160.94999999995</v>
      </c>
      <c r="F3" s="84">
        <f>E3+ноябрь!F3</f>
        <v>4246610.99</v>
      </c>
      <c r="G3" s="84">
        <f>E3-C3</f>
        <v>37509.739999999991</v>
      </c>
      <c r="H3" s="85">
        <f>F3-D3</f>
        <v>-273520.21999999974</v>
      </c>
      <c r="I3" s="83"/>
      <c r="J3" s="85">
        <f>I3+ноябрь!J3</f>
        <v>0</v>
      </c>
      <c r="K3" s="83"/>
      <c r="L3" s="85">
        <f>K3+ноябрь!L3</f>
        <v>0</v>
      </c>
      <c r="M3" s="85">
        <f>J3-L3</f>
        <v>0</v>
      </c>
    </row>
    <row r="4" spans="1:13" ht="12.95" customHeight="1">
      <c r="A4" s="1">
        <f>A3+1</f>
        <v>2</v>
      </c>
      <c r="B4" s="41" t="str">
        <f>ноябрь!B4</f>
        <v>Отопление</v>
      </c>
      <c r="C4" s="81">
        <f>325460.1+1516317.2</f>
        <v>1841777.2999999998</v>
      </c>
      <c r="D4" s="84">
        <f>C4+ноябрь!D4</f>
        <v>9559241.8099999987</v>
      </c>
      <c r="E4" s="83">
        <f>133642.14+675803.39</f>
        <v>809445.53</v>
      </c>
      <c r="F4" s="84">
        <f>E4+ноябрь!F4</f>
        <v>8660131.2300000004</v>
      </c>
      <c r="G4" s="84">
        <f t="shared" ref="G4:G27" si="0">E4-C4</f>
        <v>-1032331.7699999998</v>
      </c>
      <c r="H4" s="85">
        <f t="shared" ref="H4:H27" si="1">F4-D4</f>
        <v>-899110.57999999821</v>
      </c>
      <c r="I4" s="83"/>
      <c r="J4" s="85">
        <f>I4+ноябрь!J4</f>
        <v>0</v>
      </c>
      <c r="K4" s="81"/>
      <c r="L4" s="85">
        <f>K4+ноябрь!L4</f>
        <v>0</v>
      </c>
      <c r="M4" s="85">
        <f t="shared" ref="M4:M27" si="2">J4-L4</f>
        <v>0</v>
      </c>
    </row>
    <row r="5" spans="1:13" ht="12.95" customHeight="1">
      <c r="A5" s="1">
        <f t="shared" ref="A5:A27" si="3">A4+1</f>
        <v>3</v>
      </c>
      <c r="B5" s="41" t="str">
        <f>ноябрь!B5</f>
        <v>Горячее водоснабжение</v>
      </c>
      <c r="C5" s="81">
        <f>118244.99+480946.08</f>
        <v>599191.07000000007</v>
      </c>
      <c r="D5" s="84">
        <f>C5+ноябрь!D5</f>
        <v>6848926.3100000005</v>
      </c>
      <c r="E5" s="83">
        <f>132559.64+538314.8</f>
        <v>670874.44000000006</v>
      </c>
      <c r="F5" s="84">
        <f>E5+ноябрь!F5</f>
        <v>6291589.6100000013</v>
      </c>
      <c r="G5" s="84">
        <f t="shared" si="0"/>
        <v>71683.37</v>
      </c>
      <c r="H5" s="85">
        <f t="shared" si="1"/>
        <v>-557336.69999999925</v>
      </c>
      <c r="I5" s="83"/>
      <c r="J5" s="85">
        <f>I5+ноябрь!J5</f>
        <v>0</v>
      </c>
      <c r="K5" s="81"/>
      <c r="L5" s="85">
        <f>K5+ноябрь!L5</f>
        <v>0</v>
      </c>
      <c r="M5" s="85">
        <f t="shared" si="2"/>
        <v>0</v>
      </c>
    </row>
    <row r="6" spans="1:13" ht="12.95" customHeight="1">
      <c r="A6" s="1">
        <f t="shared" si="3"/>
        <v>4</v>
      </c>
      <c r="B6" s="41" t="str">
        <f>ноябрь!B6</f>
        <v>Газ</v>
      </c>
      <c r="C6" s="81">
        <f>11095.37+7718.49</f>
        <v>18813.86</v>
      </c>
      <c r="D6" s="84">
        <f>C6+ноябрь!D6</f>
        <v>216424.58999999997</v>
      </c>
      <c r="E6" s="83">
        <f>9775.26+6604.57</f>
        <v>16379.83</v>
      </c>
      <c r="F6" s="84">
        <f>E6+ноябрь!F6</f>
        <v>140996.87999999998</v>
      </c>
      <c r="G6" s="84">
        <f t="shared" si="0"/>
        <v>-2434.0300000000007</v>
      </c>
      <c r="H6" s="85">
        <f t="shared" si="1"/>
        <v>-75427.709999999992</v>
      </c>
      <c r="I6" s="83"/>
      <c r="J6" s="85">
        <f>I6+ноябрь!J6</f>
        <v>0</v>
      </c>
      <c r="K6" s="81"/>
      <c r="L6" s="85">
        <f>K6+ноябрь!L6</f>
        <v>0</v>
      </c>
      <c r="M6" s="85">
        <f t="shared" si="2"/>
        <v>0</v>
      </c>
    </row>
    <row r="7" spans="1:13" ht="12.95" customHeight="1">
      <c r="A7" s="1">
        <f t="shared" si="3"/>
        <v>5</v>
      </c>
      <c r="B7" s="41" t="str">
        <f>ноябрь!B7</f>
        <v>Со.и ремонт АППЗ</v>
      </c>
      <c r="C7" s="81">
        <f>786.01+4610.92</f>
        <v>5396.93</v>
      </c>
      <c r="D7" s="84">
        <f>C7+ноябрь!D7</f>
        <v>64178.82</v>
      </c>
      <c r="E7" s="83">
        <f>716.08+5078.92</f>
        <v>5795</v>
      </c>
      <c r="F7" s="84">
        <f>E7+ноябрь!F7</f>
        <v>62683.23</v>
      </c>
      <c r="G7" s="84">
        <f t="shared" si="0"/>
        <v>398.06999999999971</v>
      </c>
      <c r="H7" s="85">
        <f t="shared" si="1"/>
        <v>-1495.5899999999965</v>
      </c>
      <c r="I7" s="83"/>
      <c r="J7" s="85">
        <f>I7+ноябрь!J7</f>
        <v>0</v>
      </c>
      <c r="K7" s="81"/>
      <c r="L7" s="85">
        <f>K7+ноябрь!L7</f>
        <v>0</v>
      </c>
      <c r="M7" s="85">
        <f t="shared" si="2"/>
        <v>0</v>
      </c>
    </row>
    <row r="8" spans="1:13" ht="12.95" customHeight="1">
      <c r="A8" s="1">
        <f t="shared" si="3"/>
        <v>6</v>
      </c>
      <c r="B8" s="41" t="str">
        <f>ноябрь!B8</f>
        <v>Сод.и ремонт лифтов</v>
      </c>
      <c r="C8" s="81">
        <f>4668.96+26932.92</f>
        <v>31601.879999999997</v>
      </c>
      <c r="D8" s="84">
        <f>C8+ноябрь!D8</f>
        <v>394893.12000000005</v>
      </c>
      <c r="E8" s="83">
        <f>4440.3+29712.98</f>
        <v>34153.279999999999</v>
      </c>
      <c r="F8" s="84">
        <f>E8+ноябрь!F8</f>
        <v>394831.31999999995</v>
      </c>
      <c r="G8" s="84">
        <f t="shared" si="0"/>
        <v>2551.4000000000015</v>
      </c>
      <c r="H8" s="85">
        <f t="shared" si="1"/>
        <v>-61.800000000104774</v>
      </c>
      <c r="I8" s="83"/>
      <c r="J8" s="85">
        <f>I8+ноябрь!J8</f>
        <v>0</v>
      </c>
      <c r="K8" s="81"/>
      <c r="L8" s="85">
        <f>K8+ноябрь!L8</f>
        <v>0</v>
      </c>
      <c r="M8" s="85">
        <f t="shared" si="2"/>
        <v>0</v>
      </c>
    </row>
    <row r="9" spans="1:13" ht="12.95" customHeight="1">
      <c r="A9" s="1">
        <f t="shared" si="3"/>
        <v>7</v>
      </c>
      <c r="B9" s="41" t="str">
        <f>ноябрь!B9</f>
        <v>Очистка мусоропроводов</v>
      </c>
      <c r="C9" s="81">
        <f>2840.34+16263.71</f>
        <v>19104.05</v>
      </c>
      <c r="D9" s="84">
        <f>C9+ноябрь!D9</f>
        <v>215500.94999999998</v>
      </c>
      <c r="E9" s="83">
        <f>2561.97+17527.63</f>
        <v>20089.600000000002</v>
      </c>
      <c r="F9" s="84">
        <f>E9+ноябрь!F9</f>
        <v>206572.51</v>
      </c>
      <c r="G9" s="84">
        <f t="shared" si="0"/>
        <v>985.55000000000291</v>
      </c>
      <c r="H9" s="85">
        <f t="shared" si="1"/>
        <v>-8928.4399999999732</v>
      </c>
      <c r="I9" s="83"/>
      <c r="J9" s="85">
        <f>I9+ноябрь!J9</f>
        <v>0</v>
      </c>
      <c r="K9" s="81"/>
      <c r="L9" s="85">
        <f>K9+ноябрь!L9</f>
        <v>0</v>
      </c>
      <c r="M9" s="85">
        <f t="shared" si="2"/>
        <v>0</v>
      </c>
    </row>
    <row r="10" spans="1:13" ht="12.95" customHeight="1">
      <c r="A10" s="1">
        <f t="shared" si="3"/>
        <v>8</v>
      </c>
      <c r="B10" s="41" t="str">
        <f>ноябрь!B10</f>
        <v>Уборка и сан.очистка зем.уч.</v>
      </c>
      <c r="C10" s="81">
        <f>10368.57+48953.82</f>
        <v>59322.39</v>
      </c>
      <c r="D10" s="84">
        <f>C10+ноябрь!D10</f>
        <v>688882.95000000007</v>
      </c>
      <c r="E10" s="83">
        <f>10530.53+54421.61</f>
        <v>64952.14</v>
      </c>
      <c r="F10" s="84">
        <f>E10+ноябрь!F10</f>
        <v>645588.02</v>
      </c>
      <c r="G10" s="84">
        <f t="shared" si="0"/>
        <v>5629.75</v>
      </c>
      <c r="H10" s="85">
        <f t="shared" si="1"/>
        <v>-43294.930000000051</v>
      </c>
      <c r="I10" s="83"/>
      <c r="J10" s="85">
        <f>I10+ноябрь!J10</f>
        <v>0</v>
      </c>
      <c r="K10" s="81"/>
      <c r="L10" s="85">
        <f>K10+ноябрь!L10</f>
        <v>0</v>
      </c>
      <c r="M10" s="85">
        <f t="shared" si="2"/>
        <v>0</v>
      </c>
    </row>
    <row r="11" spans="1:13" ht="12.95" customHeight="1">
      <c r="A11" s="1">
        <f t="shared" si="3"/>
        <v>9</v>
      </c>
      <c r="B11" s="41" t="str">
        <f>ноябрь!B11</f>
        <v>Электроснабжение (инд.потр)</v>
      </c>
      <c r="C11" s="81">
        <f>65954.1+271624.91</f>
        <v>337579.01</v>
      </c>
      <c r="D11" s="84">
        <f>C11+ноябрь!D11</f>
        <v>3951289.4899999993</v>
      </c>
      <c r="E11" s="83">
        <f>65172.75+301815.89</f>
        <v>366988.64</v>
      </c>
      <c r="F11" s="84">
        <f>E11+ноябрь!F11</f>
        <v>3704611.4100000006</v>
      </c>
      <c r="G11" s="84">
        <f t="shared" si="0"/>
        <v>29409.630000000005</v>
      </c>
      <c r="H11" s="85">
        <f t="shared" si="1"/>
        <v>-246678.07999999868</v>
      </c>
      <c r="I11" s="83"/>
      <c r="J11" s="85">
        <f>I11+ноябрь!J11</f>
        <v>0</v>
      </c>
      <c r="K11" s="81"/>
      <c r="L11" s="85">
        <f>K11+ноябрь!L11</f>
        <v>0</v>
      </c>
      <c r="M11" s="85">
        <f t="shared" si="2"/>
        <v>0</v>
      </c>
    </row>
    <row r="12" spans="1:13" ht="12.95" customHeight="1">
      <c r="A12" s="1">
        <f t="shared" si="3"/>
        <v>10</v>
      </c>
      <c r="B12" s="41" t="str">
        <f>ноябрь!B12</f>
        <v>Холодная вода</v>
      </c>
      <c r="C12" s="81">
        <f>65675.35+235399.56</f>
        <v>301074.91000000003</v>
      </c>
      <c r="D12" s="84">
        <f>C12+ноябрь!D12</f>
        <v>3433763.8</v>
      </c>
      <c r="E12" s="83">
        <f>67143.32+260043.39</f>
        <v>327186.71000000002</v>
      </c>
      <c r="F12" s="84">
        <f>E12+ноябрь!F12</f>
        <v>3068465.24</v>
      </c>
      <c r="G12" s="84">
        <f t="shared" si="0"/>
        <v>26111.799999999988</v>
      </c>
      <c r="H12" s="85">
        <f t="shared" si="1"/>
        <v>-365298.55999999959</v>
      </c>
      <c r="I12" s="83"/>
      <c r="J12" s="85">
        <f>I12+ноябрь!J12</f>
        <v>0</v>
      </c>
      <c r="K12" s="81"/>
      <c r="L12" s="85">
        <f>K12+ноябрь!L12</f>
        <v>0</v>
      </c>
      <c r="M12" s="85">
        <f t="shared" si="2"/>
        <v>0</v>
      </c>
    </row>
    <row r="13" spans="1:13" ht="12.95" customHeight="1">
      <c r="A13" s="1">
        <f t="shared" si="3"/>
        <v>11</v>
      </c>
      <c r="B13" s="41" t="str">
        <f>ноябрь!B13</f>
        <v>Канализирование х. воды</v>
      </c>
      <c r="C13" s="81">
        <v>0</v>
      </c>
      <c r="D13" s="84">
        <f>C13+ноябрь!D13</f>
        <v>-2210.14</v>
      </c>
      <c r="E13" s="83">
        <v>463.44</v>
      </c>
      <c r="F13" s="84">
        <f>E13+ноябрь!F13</f>
        <v>4568.2199999999993</v>
      </c>
      <c r="G13" s="84">
        <f t="shared" si="0"/>
        <v>463.44</v>
      </c>
      <c r="H13" s="85">
        <f t="shared" si="1"/>
        <v>6778.3599999999988</v>
      </c>
      <c r="I13" s="83"/>
      <c r="J13" s="85">
        <f>I13+ноябрь!J13</f>
        <v>0</v>
      </c>
      <c r="K13" s="81"/>
      <c r="L13" s="85">
        <f>K13+ноябрь!L13</f>
        <v>0</v>
      </c>
      <c r="M13" s="85">
        <f t="shared" si="2"/>
        <v>0</v>
      </c>
    </row>
    <row r="14" spans="1:13" ht="12.95" customHeight="1">
      <c r="A14" s="1">
        <f t="shared" si="3"/>
        <v>12</v>
      </c>
      <c r="B14" s="41" t="str">
        <f>ноябрь!B14</f>
        <v>Канализирование г. воды</v>
      </c>
      <c r="C14" s="81">
        <v>0</v>
      </c>
      <c r="D14" s="84">
        <f>C14+ноябрь!D14</f>
        <v>-1504.92</v>
      </c>
      <c r="E14" s="83">
        <v>315.89</v>
      </c>
      <c r="F14" s="84">
        <f>E14+ноябрь!F14</f>
        <v>2345.7900000000004</v>
      </c>
      <c r="G14" s="84">
        <f t="shared" si="0"/>
        <v>315.89</v>
      </c>
      <c r="H14" s="85">
        <f t="shared" si="1"/>
        <v>3850.7100000000005</v>
      </c>
      <c r="I14" s="83"/>
      <c r="J14" s="85">
        <f>I14+ноябрь!J14</f>
        <v>0</v>
      </c>
      <c r="K14" s="81"/>
      <c r="L14" s="85">
        <f>K14+ноябрь!L14</f>
        <v>0</v>
      </c>
      <c r="M14" s="85">
        <f t="shared" si="2"/>
        <v>0</v>
      </c>
    </row>
    <row r="15" spans="1:13" ht="12.95" customHeight="1">
      <c r="A15" s="1">
        <f t="shared" si="3"/>
        <v>13</v>
      </c>
      <c r="B15" s="41" t="str">
        <f>ноябрь!B15</f>
        <v>Тек.рем.общ.имущ.дома</v>
      </c>
      <c r="C15" s="81">
        <f>34249.25+161704.18</f>
        <v>195953.43</v>
      </c>
      <c r="D15" s="82">
        <f>C15+ноябрь!D15</f>
        <v>2304167.37</v>
      </c>
      <c r="E15" s="83">
        <f>35296.67+180404.63</f>
        <v>215701.3</v>
      </c>
      <c r="F15" s="84">
        <f>E15+ноябрь!F15</f>
        <v>2184167.3699999996</v>
      </c>
      <c r="G15" s="84">
        <f t="shared" si="0"/>
        <v>19747.869999999995</v>
      </c>
      <c r="H15" s="85">
        <f t="shared" si="1"/>
        <v>-120000.00000000047</v>
      </c>
      <c r="I15" s="83"/>
      <c r="J15" s="85">
        <f>I15+ноябрь!J15</f>
        <v>0</v>
      </c>
      <c r="K15" s="81"/>
      <c r="L15" s="85">
        <f>K15+ноябрь!L15</f>
        <v>0</v>
      </c>
      <c r="M15" s="85">
        <f t="shared" si="2"/>
        <v>0</v>
      </c>
    </row>
    <row r="16" spans="1:13" ht="12.95" customHeight="1">
      <c r="A16" s="1">
        <f t="shared" si="3"/>
        <v>14</v>
      </c>
      <c r="B16" s="41" t="str">
        <f>ноябрь!B16</f>
        <v>Сод.и тек.рем.в/дом.газосн.</v>
      </c>
      <c r="C16" s="81">
        <f>2166.17+9913.47</f>
        <v>12079.64</v>
      </c>
      <c r="D16" s="84">
        <f>C16+ноябрь!D16</f>
        <v>143780.29999999999</v>
      </c>
      <c r="E16" s="83">
        <f>2353.84+10911.7</f>
        <v>13265.54</v>
      </c>
      <c r="F16" s="84">
        <f>E16+ноябрь!F16</f>
        <v>133899.82999999999</v>
      </c>
      <c r="G16" s="84">
        <f t="shared" si="0"/>
        <v>1185.9000000000015</v>
      </c>
      <c r="H16" s="85">
        <f t="shared" si="1"/>
        <v>-9880.4700000000012</v>
      </c>
      <c r="I16" s="83"/>
      <c r="J16" s="85">
        <f>I16+ноябрь!J16</f>
        <v>0</v>
      </c>
      <c r="K16" s="81"/>
      <c r="L16" s="85">
        <f>K16+ноябрь!L16</f>
        <v>0</v>
      </c>
      <c r="M16" s="85">
        <f t="shared" si="2"/>
        <v>0</v>
      </c>
    </row>
    <row r="17" spans="1:13" ht="12.95" customHeight="1">
      <c r="A17" s="1">
        <f t="shared" si="3"/>
        <v>15</v>
      </c>
      <c r="B17" s="41" t="str">
        <f>ноябрь!B17</f>
        <v>Управление многокв.домом</v>
      </c>
      <c r="C17" s="81">
        <f>16476.9+77816.52</f>
        <v>94293.420000000013</v>
      </c>
      <c r="D17" s="84">
        <f>C17+ноябрь!D17</f>
        <v>1032158.2600000001</v>
      </c>
      <c r="E17" s="83">
        <f>16156.2+85821.67</f>
        <v>101977.87</v>
      </c>
      <c r="F17" s="84">
        <f>E17+ноябрь!F17</f>
        <v>948049.93</v>
      </c>
      <c r="G17" s="84">
        <f t="shared" si="0"/>
        <v>7684.4499999999825</v>
      </c>
      <c r="H17" s="85">
        <f t="shared" si="1"/>
        <v>-84108.330000000075</v>
      </c>
      <c r="I17" s="83"/>
      <c r="J17" s="85">
        <f>I17+ноябрь!J17</f>
        <v>0</v>
      </c>
      <c r="K17" s="81"/>
      <c r="L17" s="85">
        <f>K17+ноябрь!L17</f>
        <v>0</v>
      </c>
      <c r="M17" s="85">
        <f t="shared" si="2"/>
        <v>0</v>
      </c>
    </row>
    <row r="18" spans="1:13" ht="12.95" customHeight="1">
      <c r="A18" s="1">
        <f t="shared" si="3"/>
        <v>16</v>
      </c>
      <c r="B18" s="41" t="str">
        <f>ноябрь!B18</f>
        <v>Водоотведение (кв)</v>
      </c>
      <c r="C18" s="81">
        <f>99641.87+373397.24</f>
        <v>473039.11</v>
      </c>
      <c r="D18" s="84">
        <f>C18+ноябрь!D18</f>
        <v>5372446.8300000001</v>
      </c>
      <c r="E18" s="83">
        <f>104619.83+414580.8</f>
        <v>519200.63</v>
      </c>
      <c r="F18" s="84">
        <f>E18+ноябрь!F18</f>
        <v>4854178.53</v>
      </c>
      <c r="G18" s="84">
        <f t="shared" si="0"/>
        <v>46161.520000000019</v>
      </c>
      <c r="H18" s="85">
        <f t="shared" si="1"/>
        <v>-518268.29999999981</v>
      </c>
      <c r="I18" s="83"/>
      <c r="J18" s="85">
        <f>I18+ноябрь!J18</f>
        <v>0</v>
      </c>
      <c r="K18" s="81"/>
      <c r="L18" s="85">
        <f>K18+ноябрь!L18</f>
        <v>0</v>
      </c>
      <c r="M18" s="85">
        <f t="shared" si="2"/>
        <v>0</v>
      </c>
    </row>
    <row r="19" spans="1:13" ht="12.95" customHeight="1">
      <c r="A19" s="1">
        <f t="shared" si="3"/>
        <v>17</v>
      </c>
      <c r="B19" s="41" t="str">
        <f>ноябрь!B19</f>
        <v>Электроснабж.на общед.нужды</v>
      </c>
      <c r="C19" s="81">
        <f>1252.19+6883.88</f>
        <v>8136.07</v>
      </c>
      <c r="D19" s="84">
        <f>C19+ноябрь!D19</f>
        <v>83258.100000000006</v>
      </c>
      <c r="E19" s="83">
        <f>1158.09+6206.5</f>
        <v>7364.59</v>
      </c>
      <c r="F19" s="84">
        <f>E19+ноябрь!F19</f>
        <v>80096.97</v>
      </c>
      <c r="G19" s="84">
        <f t="shared" si="0"/>
        <v>-771.47999999999956</v>
      </c>
      <c r="H19" s="85">
        <f t="shared" si="1"/>
        <v>-3161.1300000000047</v>
      </c>
      <c r="I19" s="83"/>
      <c r="J19" s="85">
        <f>I19+ноябрь!J19</f>
        <v>0</v>
      </c>
      <c r="K19" s="81"/>
      <c r="L19" s="85">
        <f>K19+ноябрь!L19</f>
        <v>0</v>
      </c>
      <c r="M19" s="85">
        <f t="shared" si="2"/>
        <v>0</v>
      </c>
    </row>
    <row r="20" spans="1:13" ht="12.95" customHeight="1">
      <c r="A20" s="1">
        <f t="shared" si="3"/>
        <v>18</v>
      </c>
      <c r="B20" s="41" t="str">
        <f>ноябрь!B20</f>
        <v>Эксплуатация общед. ПУ</v>
      </c>
      <c r="C20" s="81">
        <f>2746.42+15020.78</f>
        <v>17767.2</v>
      </c>
      <c r="D20" s="84">
        <f>C20+ноябрь!D20</f>
        <v>208370.40000000002</v>
      </c>
      <c r="E20" s="83">
        <f>2892.67+16825.7</f>
        <v>19718.370000000003</v>
      </c>
      <c r="F20" s="84">
        <f>E20+ноябрь!F20</f>
        <v>200190.94999999998</v>
      </c>
      <c r="G20" s="84">
        <f t="shared" si="0"/>
        <v>1951.1700000000019</v>
      </c>
      <c r="H20" s="85">
        <f t="shared" si="1"/>
        <v>-8179.4500000000407</v>
      </c>
      <c r="I20" s="83"/>
      <c r="J20" s="85">
        <f>I20+ноябрь!J20</f>
        <v>0</v>
      </c>
      <c r="K20" s="81"/>
      <c r="L20" s="85">
        <f>K20+ноябрь!L20</f>
        <v>0</v>
      </c>
      <c r="M20" s="85">
        <f t="shared" si="2"/>
        <v>0</v>
      </c>
    </row>
    <row r="21" spans="1:13" ht="12.95" customHeight="1">
      <c r="A21" s="1">
        <f t="shared" si="3"/>
        <v>19</v>
      </c>
      <c r="B21" s="41" t="str">
        <f>ноябрь!B21</f>
        <v>Хол.водоснабж.(о/д нужды)</v>
      </c>
      <c r="C21" s="81">
        <f>1120.26+6032.68</f>
        <v>7152.9400000000005</v>
      </c>
      <c r="D21" s="84">
        <f>C21+ноябрь!D21</f>
        <v>81302.460000000006</v>
      </c>
      <c r="E21" s="83">
        <f>1294.06+7059.41</f>
        <v>8353.4699999999993</v>
      </c>
      <c r="F21" s="84">
        <f>E21+ноябрь!F21</f>
        <v>85806.489999999991</v>
      </c>
      <c r="G21" s="84">
        <f t="shared" si="0"/>
        <v>1200.5299999999988</v>
      </c>
      <c r="H21" s="85">
        <f t="shared" si="1"/>
        <v>4504.0299999999843</v>
      </c>
      <c r="I21" s="83"/>
      <c r="J21" s="85">
        <f>I21+ноябрь!J21</f>
        <v>0</v>
      </c>
      <c r="K21" s="81"/>
      <c r="L21" s="85">
        <f>K21+ноябрь!L21</f>
        <v>0</v>
      </c>
      <c r="M21" s="85">
        <f t="shared" si="2"/>
        <v>0</v>
      </c>
    </row>
    <row r="22" spans="1:13" ht="12.95" customHeight="1">
      <c r="A22" s="1">
        <f t="shared" si="3"/>
        <v>20</v>
      </c>
      <c r="B22" s="41" t="str">
        <f>ноябрь!B22</f>
        <v>Водоотведение(о/д нужды)</v>
      </c>
      <c r="C22" s="81">
        <v>0</v>
      </c>
      <c r="D22" s="84">
        <f>C22+ноябрь!D22</f>
        <v>118323.09999999999</v>
      </c>
      <c r="E22" s="83">
        <v>150.97</v>
      </c>
      <c r="F22" s="84">
        <f>E22+ноябрь!F22</f>
        <v>153041.64000000001</v>
      </c>
      <c r="G22" s="84">
        <f t="shared" si="0"/>
        <v>150.97</v>
      </c>
      <c r="H22" s="85">
        <f t="shared" si="1"/>
        <v>34718.540000000023</v>
      </c>
      <c r="I22" s="83"/>
      <c r="J22" s="85">
        <f>I22+ноябрь!J22</f>
        <v>0</v>
      </c>
      <c r="K22" s="81"/>
      <c r="L22" s="85">
        <f>K22+ноябрь!L22</f>
        <v>0</v>
      </c>
      <c r="M22" s="85">
        <f t="shared" si="2"/>
        <v>0</v>
      </c>
    </row>
    <row r="23" spans="1:13" ht="12.95" customHeight="1">
      <c r="A23" s="1">
        <f t="shared" si="3"/>
        <v>21</v>
      </c>
      <c r="B23" s="41" t="str">
        <f>ноябрь!B23</f>
        <v>Отопление (о/д нужды)</v>
      </c>
      <c r="C23" s="81">
        <v>0</v>
      </c>
      <c r="D23" s="84">
        <f>C23+ноябрь!D23</f>
        <v>-848.48</v>
      </c>
      <c r="E23" s="83">
        <v>1053.51</v>
      </c>
      <c r="F23" s="84">
        <f>E23+ноябрь!F23</f>
        <v>2652.03</v>
      </c>
      <c r="G23" s="84">
        <f t="shared" si="0"/>
        <v>1053.51</v>
      </c>
      <c r="H23" s="85">
        <f t="shared" si="1"/>
        <v>3500.51</v>
      </c>
      <c r="I23" s="83"/>
      <c r="J23" s="85">
        <f>I23+ноябрь!J23</f>
        <v>0</v>
      </c>
      <c r="K23" s="81"/>
      <c r="L23" s="85">
        <f>K23+ноябрь!L23</f>
        <v>0</v>
      </c>
      <c r="M23" s="85">
        <f t="shared" si="2"/>
        <v>0</v>
      </c>
    </row>
    <row r="24" spans="1:13" ht="12.95" customHeight="1">
      <c r="A24" s="1">
        <f t="shared" si="3"/>
        <v>22</v>
      </c>
      <c r="B24" s="41" t="str">
        <f>ноябрь!B24</f>
        <v>Электроснабжение (общед.н)</v>
      </c>
      <c r="C24" s="81">
        <f>36423.7+195014.69+11333.17</f>
        <v>242771.56000000003</v>
      </c>
      <c r="D24" s="84">
        <f>C24+ноябрь!D24</f>
        <v>2070378.99</v>
      </c>
      <c r="E24" s="83">
        <f>27723.85+168040+10912.85</f>
        <v>206676.7</v>
      </c>
      <c r="F24" s="84">
        <f>E24+ноябрь!F24</f>
        <v>2094865.6199999999</v>
      </c>
      <c r="G24" s="84">
        <f t="shared" si="0"/>
        <v>-36094.860000000015</v>
      </c>
      <c r="H24" s="85">
        <f t="shared" si="1"/>
        <v>24486.629999999888</v>
      </c>
      <c r="I24" s="83"/>
      <c r="J24" s="85">
        <f>I24+ноябрь!J24</f>
        <v>0</v>
      </c>
      <c r="K24" s="81"/>
      <c r="L24" s="85">
        <f>K24+ноябрь!L24</f>
        <v>0</v>
      </c>
      <c r="M24" s="85">
        <f t="shared" si="2"/>
        <v>0</v>
      </c>
    </row>
    <row r="25" spans="1:13" ht="12.95" customHeight="1">
      <c r="A25" s="1">
        <f t="shared" si="3"/>
        <v>23</v>
      </c>
      <c r="B25" s="41" t="str">
        <f>ноябрь!B25</f>
        <v>Гор.водоснабж.(о/д нужды)</v>
      </c>
      <c r="C25" s="81">
        <f>2204.12+11652.26</f>
        <v>13856.380000000001</v>
      </c>
      <c r="D25" s="84">
        <f>C25+ноябрь!D25</f>
        <v>187494.56000000003</v>
      </c>
      <c r="E25" s="83">
        <f>2076.09+13531.79</f>
        <v>15607.880000000001</v>
      </c>
      <c r="F25" s="84">
        <f>E25+ноябрь!F25</f>
        <v>186513.37999999998</v>
      </c>
      <c r="G25" s="84">
        <f t="shared" si="0"/>
        <v>1751.5</v>
      </c>
      <c r="H25" s="85">
        <f t="shared" si="1"/>
        <v>-981.18000000005122</v>
      </c>
      <c r="I25" s="83"/>
      <c r="J25" s="85">
        <f>I25+ноябрь!J25</f>
        <v>0</v>
      </c>
      <c r="K25" s="81"/>
      <c r="L25" s="85">
        <f>K25+ноябрь!L25</f>
        <v>0</v>
      </c>
      <c r="M25" s="85">
        <f t="shared" si="2"/>
        <v>0</v>
      </c>
    </row>
    <row r="26" spans="1:13" ht="12.95" customHeight="1">
      <c r="A26" s="1">
        <f t="shared" si="3"/>
        <v>24</v>
      </c>
      <c r="B26" s="41" t="str">
        <f>ноябрь!B26</f>
        <v>Капитальный ремонт</v>
      </c>
      <c r="C26" s="81">
        <v>0</v>
      </c>
      <c r="D26" s="84">
        <f>C26+ноябрь!D26</f>
        <v>0</v>
      </c>
      <c r="E26" s="83">
        <v>0</v>
      </c>
      <c r="F26" s="84">
        <f>E26+ноябрь!F26</f>
        <v>0</v>
      </c>
      <c r="G26" s="84">
        <f t="shared" si="0"/>
        <v>0</v>
      </c>
      <c r="H26" s="85">
        <f t="shared" si="1"/>
        <v>0</v>
      </c>
      <c r="I26" s="83">
        <v>0</v>
      </c>
      <c r="J26" s="85">
        <f>I26+ноябрь!J26</f>
        <v>0</v>
      </c>
      <c r="K26" s="81">
        <v>0</v>
      </c>
      <c r="L26" s="85">
        <f>K26+ноябрь!L26</f>
        <v>0</v>
      </c>
      <c r="M26" s="85">
        <f t="shared" si="2"/>
        <v>0</v>
      </c>
    </row>
    <row r="27" spans="1:13" ht="12.95" customHeight="1">
      <c r="A27" s="1">
        <f t="shared" si="3"/>
        <v>25</v>
      </c>
      <c r="B27" s="41" t="str">
        <f>ноябрь!B27</f>
        <v>Уборка лестн. Кл</v>
      </c>
      <c r="C27" s="81">
        <v>0</v>
      </c>
      <c r="D27" s="84">
        <f>C27+ноябрь!D27</f>
        <v>4670.8500000000004</v>
      </c>
      <c r="E27" s="83">
        <v>0</v>
      </c>
      <c r="F27" s="84">
        <f>E27+ноябрь!F27</f>
        <v>2749.94</v>
      </c>
      <c r="G27" s="84">
        <f t="shared" si="0"/>
        <v>0</v>
      </c>
      <c r="H27" s="85">
        <f t="shared" si="1"/>
        <v>-1920.9100000000003</v>
      </c>
      <c r="I27" s="83"/>
      <c r="J27" s="85">
        <f>I27+ноябрь!J27</f>
        <v>0</v>
      </c>
      <c r="K27" s="81"/>
      <c r="L27" s="85">
        <f>K27+ноябрь!L27</f>
        <v>0</v>
      </c>
      <c r="M27" s="85">
        <f t="shared" si="2"/>
        <v>0</v>
      </c>
    </row>
    <row r="28" spans="1:13" s="6" customFormat="1">
      <c r="A28" s="16"/>
      <c r="B28" s="17" t="s">
        <v>12</v>
      </c>
      <c r="C28" s="86">
        <f t="shared" ref="C28:L28" si="4">SUM(C3:C27)</f>
        <v>4671562.3600000013</v>
      </c>
      <c r="D28" s="86">
        <f t="shared" si="4"/>
        <v>41495020.730000012</v>
      </c>
      <c r="E28" s="87">
        <f t="shared" si="4"/>
        <v>3855876.2800000003</v>
      </c>
      <c r="F28" s="86">
        <f t="shared" si="4"/>
        <v>38355207.130000003</v>
      </c>
      <c r="G28" s="86">
        <f t="shared" si="4"/>
        <v>-815686.07999999973</v>
      </c>
      <c r="H28" s="87">
        <f t="shared" si="4"/>
        <v>-3139813.5999999973</v>
      </c>
      <c r="I28" s="87">
        <f t="shared" si="4"/>
        <v>0</v>
      </c>
      <c r="J28" s="87">
        <f t="shared" si="4"/>
        <v>0</v>
      </c>
      <c r="K28" s="86">
        <f t="shared" si="4"/>
        <v>0</v>
      </c>
      <c r="L28" s="86">
        <f t="shared" si="4"/>
        <v>0</v>
      </c>
      <c r="M28" s="87">
        <f>SUM(M3:M27)</f>
        <v>0</v>
      </c>
    </row>
    <row r="29" spans="1:13" ht="3.75" customHeight="1">
      <c r="C29" s="88"/>
      <c r="D29" s="89"/>
      <c r="E29" s="89"/>
      <c r="F29" s="89"/>
      <c r="G29" s="89"/>
      <c r="H29" s="89"/>
      <c r="I29" s="89"/>
      <c r="J29" s="89"/>
      <c r="K29" s="88"/>
      <c r="L29" s="88"/>
      <c r="M29" s="88"/>
    </row>
    <row r="30" spans="1:13">
      <c r="B30" s="57" t="s">
        <v>42</v>
      </c>
      <c r="C30" s="90">
        <f>C12+C13+C14+C18+C21+C22</f>
        <v>781266.96</v>
      </c>
      <c r="D30" s="90">
        <f t="shared" ref="D30:L30" si="5">D12+D13+D14+D18+D21+D22</f>
        <v>9002121.1300000008</v>
      </c>
      <c r="E30" s="90">
        <f t="shared" si="5"/>
        <v>855671.11</v>
      </c>
      <c r="F30" s="90">
        <f t="shared" si="5"/>
        <v>8168405.9100000011</v>
      </c>
      <c r="G30" s="90">
        <f t="shared" si="5"/>
        <v>74404.150000000009</v>
      </c>
      <c r="H30" s="90">
        <f t="shared" si="5"/>
        <v>-833715.21999999927</v>
      </c>
      <c r="I30" s="90">
        <f t="shared" si="5"/>
        <v>0</v>
      </c>
      <c r="J30" s="90">
        <f t="shared" si="5"/>
        <v>0</v>
      </c>
      <c r="K30" s="90">
        <f t="shared" si="5"/>
        <v>0</v>
      </c>
      <c r="L30" s="90">
        <f t="shared" si="5"/>
        <v>0</v>
      </c>
      <c r="M30" s="88"/>
    </row>
    <row r="31" spans="1:13">
      <c r="B31" s="57" t="s">
        <v>43</v>
      </c>
      <c r="C31" s="90">
        <f t="shared" ref="C31:L31" si="6">C11+C24+C19</f>
        <v>588486.64</v>
      </c>
      <c r="D31" s="90">
        <f t="shared" si="6"/>
        <v>6104926.5799999991</v>
      </c>
      <c r="E31" s="90">
        <f t="shared" si="6"/>
        <v>581029.93000000005</v>
      </c>
      <c r="F31" s="90">
        <f t="shared" si="6"/>
        <v>5879574</v>
      </c>
      <c r="G31" s="90">
        <f t="shared" si="6"/>
        <v>-7456.71000000001</v>
      </c>
      <c r="H31" s="90">
        <f t="shared" si="6"/>
        <v>-225352.57999999879</v>
      </c>
      <c r="I31" s="90">
        <f t="shared" si="6"/>
        <v>0</v>
      </c>
      <c r="J31" s="90">
        <f t="shared" si="6"/>
        <v>0</v>
      </c>
      <c r="K31" s="90">
        <f t="shared" si="6"/>
        <v>0</v>
      </c>
      <c r="L31" s="90">
        <f t="shared" si="6"/>
        <v>0</v>
      </c>
      <c r="M31" s="88"/>
    </row>
    <row r="32" spans="1:13">
      <c r="B32" s="57" t="s">
        <v>44</v>
      </c>
      <c r="C32" s="90">
        <f>C4+C5+C23+C25</f>
        <v>2454824.75</v>
      </c>
      <c r="D32" s="90">
        <f t="shared" ref="D32:L32" si="7">D4+D5+D23+D25</f>
        <v>16594814.199999999</v>
      </c>
      <c r="E32" s="90">
        <f t="shared" si="7"/>
        <v>1496981.36</v>
      </c>
      <c r="F32" s="90">
        <f t="shared" si="7"/>
        <v>15140886.250000002</v>
      </c>
      <c r="G32" s="90">
        <f t="shared" si="7"/>
        <v>-957843.38999999978</v>
      </c>
      <c r="H32" s="90">
        <f t="shared" si="7"/>
        <v>-1453927.9499999974</v>
      </c>
      <c r="I32" s="90">
        <f t="shared" si="7"/>
        <v>0</v>
      </c>
      <c r="J32" s="90">
        <f t="shared" si="7"/>
        <v>0</v>
      </c>
      <c r="K32" s="90">
        <f t="shared" si="7"/>
        <v>0</v>
      </c>
      <c r="L32" s="90">
        <f t="shared" si="7"/>
        <v>0</v>
      </c>
      <c r="M32" s="88"/>
    </row>
    <row r="33" spans="2:13">
      <c r="B33" s="59" t="s">
        <v>39</v>
      </c>
      <c r="C33" s="90">
        <f t="shared" ref="C33:L33" si="8">C3+C7+C8+C9+C10+C15+C16+C17+C20</f>
        <v>828170.14999999991</v>
      </c>
      <c r="D33" s="90">
        <f t="shared" si="8"/>
        <v>9572063.3800000008</v>
      </c>
      <c r="E33" s="90">
        <f t="shared" si="8"/>
        <v>905814.05</v>
      </c>
      <c r="F33" s="90">
        <f t="shared" si="8"/>
        <v>9022594.1499999985</v>
      </c>
      <c r="G33" s="90">
        <f t="shared" si="8"/>
        <v>77643.89999999998</v>
      </c>
      <c r="H33" s="90">
        <f t="shared" si="8"/>
        <v>-549469.23000000045</v>
      </c>
      <c r="I33" s="90">
        <f t="shared" si="8"/>
        <v>0</v>
      </c>
      <c r="J33" s="90">
        <f t="shared" si="8"/>
        <v>0</v>
      </c>
      <c r="K33" s="90">
        <f t="shared" si="8"/>
        <v>0</v>
      </c>
      <c r="L33" s="90">
        <f t="shared" si="8"/>
        <v>0</v>
      </c>
      <c r="M33" s="88"/>
    </row>
    <row r="34" spans="2:13">
      <c r="C34" s="88"/>
      <c r="D34" s="89"/>
      <c r="E34" s="89"/>
      <c r="F34" s="89"/>
      <c r="G34" s="89"/>
      <c r="H34" s="89"/>
      <c r="I34" s="89"/>
      <c r="J34" s="89"/>
      <c r="K34" s="88"/>
      <c r="L34" s="88"/>
      <c r="M34" s="88"/>
    </row>
    <row r="35" spans="2:13">
      <c r="C35" s="88">
        <f>870038.77+3801523.59</f>
        <v>4671562.3599999994</v>
      </c>
      <c r="D35" s="89"/>
      <c r="E35" s="89">
        <f>692122.58+3163753.7</f>
        <v>3855876.2800000003</v>
      </c>
      <c r="F35" s="89"/>
      <c r="G35" s="89"/>
      <c r="H35" s="89"/>
      <c r="I35" s="89"/>
      <c r="J35" s="89"/>
      <c r="K35" s="88"/>
      <c r="L35" s="88"/>
      <c r="M35" s="88"/>
    </row>
    <row r="36" spans="2:13">
      <c r="C36" s="91"/>
      <c r="D36" s="92"/>
      <c r="E36" s="89"/>
      <c r="F36" s="89"/>
      <c r="G36" s="89"/>
      <c r="H36" s="89"/>
      <c r="I36" s="89"/>
      <c r="J36" s="89"/>
      <c r="K36" s="88"/>
      <c r="L36" s="88"/>
      <c r="M36" s="88"/>
    </row>
    <row r="37" spans="2:13">
      <c r="C37" s="91"/>
      <c r="D37" s="92"/>
      <c r="E37" s="89"/>
      <c r="F37" s="89"/>
      <c r="G37" s="89"/>
      <c r="H37" s="89"/>
      <c r="I37" s="89"/>
      <c r="J37" s="89"/>
      <c r="K37" s="88"/>
      <c r="L37" s="88"/>
      <c r="M37" s="88"/>
    </row>
    <row r="38" spans="2:13">
      <c r="C38" s="93"/>
      <c r="D38" s="93"/>
      <c r="E38" s="89"/>
      <c r="F38" s="89"/>
      <c r="G38" s="89"/>
      <c r="H38" s="89"/>
      <c r="I38" s="89"/>
      <c r="J38" s="89"/>
      <c r="K38" s="88"/>
      <c r="L38" s="88"/>
      <c r="M38" s="88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M4" sqref="M4"/>
    </sheetView>
  </sheetViews>
  <sheetFormatPr defaultRowHeight="12.75"/>
  <cols>
    <col min="1" max="1" width="3.7109375" customWidth="1"/>
    <col min="2" max="2" width="33" customWidth="1"/>
    <col min="3" max="3" width="15.28515625" customWidth="1"/>
    <col min="4" max="4" width="16.5703125" style="8" customWidth="1"/>
    <col min="5" max="5" width="14.85546875" style="8" customWidth="1"/>
    <col min="6" max="6" width="12" style="8" customWidth="1"/>
    <col min="7" max="7" width="11" style="8" customWidth="1"/>
    <col min="8" max="8" width="11.42578125" style="8" customWidth="1"/>
    <col min="9" max="9" width="11.5703125" style="8" bestFit="1" customWidth="1"/>
    <col min="10" max="10" width="12" style="8" customWidth="1"/>
    <col min="11" max="11" width="11.5703125" bestFit="1" customWidth="1"/>
    <col min="12" max="12" width="10.85546875" customWidth="1"/>
    <col min="13" max="13" width="10.7109375" bestFit="1" customWidth="1"/>
  </cols>
  <sheetData>
    <row r="1" spans="1:13" ht="24" customHeight="1">
      <c r="B1" s="56" t="s">
        <v>60</v>
      </c>
    </row>
    <row r="2" spans="1:13" s="40" customFormat="1" ht="25.5">
      <c r="A2" s="35" t="s">
        <v>0</v>
      </c>
      <c r="B2" s="36" t="s">
        <v>1</v>
      </c>
      <c r="C2" s="37" t="s">
        <v>2</v>
      </c>
      <c r="D2" s="38" t="s">
        <v>3</v>
      </c>
      <c r="E2" s="53" t="s">
        <v>4</v>
      </c>
      <c r="F2" s="38" t="s">
        <v>5</v>
      </c>
      <c r="G2" s="38" t="s">
        <v>6</v>
      </c>
      <c r="H2" s="38" t="s">
        <v>7</v>
      </c>
      <c r="I2" s="53" t="s">
        <v>8</v>
      </c>
      <c r="J2" s="38" t="s">
        <v>9</v>
      </c>
      <c r="K2" s="36" t="s">
        <v>10</v>
      </c>
      <c r="L2" s="38" t="s">
        <v>11</v>
      </c>
      <c r="M2" s="39" t="s">
        <v>17</v>
      </c>
    </row>
    <row r="3" spans="1:13" ht="12.95" customHeight="1">
      <c r="A3" s="1">
        <v>1</v>
      </c>
      <c r="B3" s="41" t="str">
        <f>ноябрь!B3</f>
        <v>Содержание общ.имущ.дома</v>
      </c>
      <c r="C3" s="3"/>
      <c r="D3" s="75">
        <f>C3+декабрь18!D3</f>
        <v>4520131.21</v>
      </c>
      <c r="E3" s="9"/>
      <c r="F3" s="12">
        <f>E3+декабрь18!F3</f>
        <v>4246610.99</v>
      </c>
      <c r="G3" s="12">
        <f>E3-C3</f>
        <v>0</v>
      </c>
      <c r="H3" s="14">
        <f>F3-D3</f>
        <v>-273520.21999999974</v>
      </c>
      <c r="I3" s="9"/>
      <c r="J3" s="14">
        <f>I3+декабрь18!J3</f>
        <v>0</v>
      </c>
      <c r="K3" s="9"/>
      <c r="L3" s="14">
        <f>K3+декабрь18!L3</f>
        <v>0</v>
      </c>
      <c r="M3" s="14">
        <f>J3-L3</f>
        <v>0</v>
      </c>
    </row>
    <row r="4" spans="1:13" ht="12.95" customHeight="1">
      <c r="A4" s="1">
        <f>A3+1</f>
        <v>2</v>
      </c>
      <c r="B4" s="41" t="str">
        <f>ноябрь!B4</f>
        <v>Отопление</v>
      </c>
      <c r="C4" s="3"/>
      <c r="D4" s="75">
        <f>C4+декабрь18!D4</f>
        <v>9559241.8099999987</v>
      </c>
      <c r="E4" s="9"/>
      <c r="F4" s="12">
        <f>E4+декабрь18!F4</f>
        <v>8660131.2300000004</v>
      </c>
      <c r="G4" s="12">
        <f t="shared" ref="G4:H27" si="0">E4-C4</f>
        <v>0</v>
      </c>
      <c r="H4" s="14">
        <f t="shared" si="0"/>
        <v>-899110.57999999821</v>
      </c>
      <c r="I4" s="9"/>
      <c r="J4" s="14">
        <f>I4+декабрь18!J4</f>
        <v>0</v>
      </c>
      <c r="K4" s="3"/>
      <c r="L4" s="14">
        <f>K4+декабрь18!L4</f>
        <v>0</v>
      </c>
      <c r="M4" s="14">
        <f t="shared" ref="M4:M27" si="1">J4-L4</f>
        <v>0</v>
      </c>
    </row>
    <row r="5" spans="1:13" ht="12.95" customHeight="1">
      <c r="A5" s="1">
        <f t="shared" ref="A5:A27" si="2">A4+1</f>
        <v>3</v>
      </c>
      <c r="B5" s="41" t="str">
        <f>ноябрь!B5</f>
        <v>Горячее водоснабжение</v>
      </c>
      <c r="C5" s="3"/>
      <c r="D5" s="75">
        <f>C5+декабрь18!D5</f>
        <v>6848926.3100000005</v>
      </c>
      <c r="E5" s="9"/>
      <c r="F5" s="12">
        <f>E5+декабрь18!F5</f>
        <v>6291589.6100000013</v>
      </c>
      <c r="G5" s="12">
        <f t="shared" si="0"/>
        <v>0</v>
      </c>
      <c r="H5" s="14">
        <f t="shared" si="0"/>
        <v>-557336.69999999925</v>
      </c>
      <c r="I5" s="9"/>
      <c r="J5" s="14">
        <f>I5+декабрь18!J5</f>
        <v>0</v>
      </c>
      <c r="K5" s="3"/>
      <c r="L5" s="14">
        <f>K5+декабрь18!L5</f>
        <v>0</v>
      </c>
      <c r="M5" s="14">
        <f t="shared" si="1"/>
        <v>0</v>
      </c>
    </row>
    <row r="6" spans="1:13" ht="12.95" customHeight="1">
      <c r="A6" s="1">
        <f t="shared" si="2"/>
        <v>4</v>
      </c>
      <c r="B6" s="41" t="str">
        <f>ноябрь!B6</f>
        <v>Газ</v>
      </c>
      <c r="C6" s="3"/>
      <c r="D6" s="75">
        <f>C6+декабрь18!D6</f>
        <v>216424.58999999997</v>
      </c>
      <c r="E6" s="9"/>
      <c r="F6" s="12">
        <f>E6+декабрь18!F6</f>
        <v>140996.87999999998</v>
      </c>
      <c r="G6" s="12">
        <f t="shared" si="0"/>
        <v>0</v>
      </c>
      <c r="H6" s="14">
        <f t="shared" si="0"/>
        <v>-75427.709999999992</v>
      </c>
      <c r="I6" s="9"/>
      <c r="J6" s="14">
        <f>I6+декабрь18!J6</f>
        <v>0</v>
      </c>
      <c r="K6" s="3"/>
      <c r="L6" s="14">
        <f>K6+декабрь18!L6</f>
        <v>0</v>
      </c>
      <c r="M6" s="14">
        <f t="shared" si="1"/>
        <v>0</v>
      </c>
    </row>
    <row r="7" spans="1:13" ht="12.95" customHeight="1">
      <c r="A7" s="1">
        <f t="shared" si="2"/>
        <v>5</v>
      </c>
      <c r="B7" s="41" t="str">
        <f>ноябрь!B7</f>
        <v>Со.и ремонт АППЗ</v>
      </c>
      <c r="C7" s="3"/>
      <c r="D7" s="75">
        <f>C7+декабрь18!D7</f>
        <v>64178.82</v>
      </c>
      <c r="E7" s="9"/>
      <c r="F7" s="12">
        <f>E7+декабрь18!F7</f>
        <v>62683.23</v>
      </c>
      <c r="G7" s="12">
        <f t="shared" si="0"/>
        <v>0</v>
      </c>
      <c r="H7" s="14">
        <f t="shared" si="0"/>
        <v>-1495.5899999999965</v>
      </c>
      <c r="I7" s="9"/>
      <c r="J7" s="14">
        <f>I7+декабрь18!J7</f>
        <v>0</v>
      </c>
      <c r="K7" s="3"/>
      <c r="L7" s="14">
        <f>K7+декабрь18!L7</f>
        <v>0</v>
      </c>
      <c r="M7" s="14">
        <f t="shared" si="1"/>
        <v>0</v>
      </c>
    </row>
    <row r="8" spans="1:13" ht="12.95" customHeight="1">
      <c r="A8" s="1">
        <f t="shared" si="2"/>
        <v>6</v>
      </c>
      <c r="B8" s="41" t="str">
        <f>ноябрь!B8</f>
        <v>Сод.и ремонт лифтов</v>
      </c>
      <c r="C8" s="3"/>
      <c r="D8" s="75">
        <f>C8+декабрь18!D8</f>
        <v>394893.12000000005</v>
      </c>
      <c r="E8" s="9"/>
      <c r="F8" s="12">
        <f>E8+декабрь18!F8</f>
        <v>394831.31999999995</v>
      </c>
      <c r="G8" s="12">
        <f t="shared" si="0"/>
        <v>0</v>
      </c>
      <c r="H8" s="14">
        <f t="shared" si="0"/>
        <v>-61.800000000104774</v>
      </c>
      <c r="I8" s="9"/>
      <c r="J8" s="14">
        <f>I8+декабрь18!J8</f>
        <v>0</v>
      </c>
      <c r="K8" s="3"/>
      <c r="L8" s="14">
        <f>K8+декабрь18!L8</f>
        <v>0</v>
      </c>
      <c r="M8" s="14">
        <f t="shared" si="1"/>
        <v>0</v>
      </c>
    </row>
    <row r="9" spans="1:13" ht="12.95" customHeight="1">
      <c r="A9" s="1">
        <f t="shared" si="2"/>
        <v>7</v>
      </c>
      <c r="B9" s="41" t="str">
        <f>ноябрь!B9</f>
        <v>Очистка мусоропроводов</v>
      </c>
      <c r="C9" s="3"/>
      <c r="D9" s="75">
        <f>C9+декабрь18!D9</f>
        <v>215500.94999999998</v>
      </c>
      <c r="E9" s="9"/>
      <c r="F9" s="12">
        <f>E9+декабрь18!F9</f>
        <v>206572.51</v>
      </c>
      <c r="G9" s="12">
        <f t="shared" si="0"/>
        <v>0</v>
      </c>
      <c r="H9" s="14">
        <f t="shared" si="0"/>
        <v>-8928.4399999999732</v>
      </c>
      <c r="I9" s="9"/>
      <c r="J9" s="14">
        <f>I9+декабрь18!J9</f>
        <v>0</v>
      </c>
      <c r="K9" s="3"/>
      <c r="L9" s="14">
        <f>K9+декабрь18!L9</f>
        <v>0</v>
      </c>
      <c r="M9" s="14">
        <f t="shared" si="1"/>
        <v>0</v>
      </c>
    </row>
    <row r="10" spans="1:13" ht="12.95" customHeight="1">
      <c r="A10" s="1">
        <f t="shared" si="2"/>
        <v>8</v>
      </c>
      <c r="B10" s="41" t="str">
        <f>ноябрь!B10</f>
        <v>Уборка и сан.очистка зем.уч.</v>
      </c>
      <c r="C10" s="3"/>
      <c r="D10" s="75">
        <f>C10+декабрь18!D10</f>
        <v>688882.95000000007</v>
      </c>
      <c r="E10" s="9"/>
      <c r="F10" s="12">
        <f>E10+декабрь18!F10</f>
        <v>645588.02</v>
      </c>
      <c r="G10" s="12">
        <f t="shared" si="0"/>
        <v>0</v>
      </c>
      <c r="H10" s="14">
        <f t="shared" si="0"/>
        <v>-43294.930000000051</v>
      </c>
      <c r="I10" s="9"/>
      <c r="J10" s="14">
        <f>I10+декабрь18!J10</f>
        <v>0</v>
      </c>
      <c r="K10" s="3"/>
      <c r="L10" s="14">
        <f>K10+декабрь18!L10</f>
        <v>0</v>
      </c>
      <c r="M10" s="14">
        <f t="shared" si="1"/>
        <v>0</v>
      </c>
    </row>
    <row r="11" spans="1:13" ht="12.95" customHeight="1">
      <c r="A11" s="1">
        <f t="shared" si="2"/>
        <v>9</v>
      </c>
      <c r="B11" s="41" t="str">
        <f>ноябрь!B11</f>
        <v>Электроснабжение (инд.потр)</v>
      </c>
      <c r="C11" s="3"/>
      <c r="D11" s="75">
        <f>C11+декабрь18!D11</f>
        <v>3951289.4899999993</v>
      </c>
      <c r="E11" s="9"/>
      <c r="F11" s="12">
        <f>E11+декабрь18!F11</f>
        <v>3704611.4100000006</v>
      </c>
      <c r="G11" s="12">
        <f t="shared" si="0"/>
        <v>0</v>
      </c>
      <c r="H11" s="14">
        <f t="shared" si="0"/>
        <v>-246678.07999999868</v>
      </c>
      <c r="I11" s="9"/>
      <c r="J11" s="14">
        <f>I11+декабрь18!J11</f>
        <v>0</v>
      </c>
      <c r="K11" s="3"/>
      <c r="L11" s="14">
        <f>K11+декабрь18!L11</f>
        <v>0</v>
      </c>
      <c r="M11" s="14">
        <f t="shared" si="1"/>
        <v>0</v>
      </c>
    </row>
    <row r="12" spans="1:13" ht="12.95" customHeight="1">
      <c r="A12" s="1">
        <f t="shared" si="2"/>
        <v>10</v>
      </c>
      <c r="B12" s="41" t="str">
        <f>ноябрь!B12</f>
        <v>Холодная вода</v>
      </c>
      <c r="C12" s="3"/>
      <c r="D12" s="75">
        <f>C12+декабрь18!D12</f>
        <v>3433763.8</v>
      </c>
      <c r="E12" s="9"/>
      <c r="F12" s="12">
        <f>E12+декабрь18!F12</f>
        <v>3068465.24</v>
      </c>
      <c r="G12" s="12">
        <f t="shared" si="0"/>
        <v>0</v>
      </c>
      <c r="H12" s="14">
        <f t="shared" si="0"/>
        <v>-365298.55999999959</v>
      </c>
      <c r="I12" s="9"/>
      <c r="J12" s="14">
        <f>I12+декабрь18!J12</f>
        <v>0</v>
      </c>
      <c r="K12" s="3"/>
      <c r="L12" s="14">
        <f>K12+декабрь18!L12</f>
        <v>0</v>
      </c>
      <c r="M12" s="14">
        <f t="shared" si="1"/>
        <v>0</v>
      </c>
    </row>
    <row r="13" spans="1:13" ht="12.95" customHeight="1">
      <c r="A13" s="1">
        <f t="shared" si="2"/>
        <v>11</v>
      </c>
      <c r="B13" s="41" t="str">
        <f>ноябрь!B13</f>
        <v>Канализирование х. воды</v>
      </c>
      <c r="C13" s="3"/>
      <c r="D13" s="75">
        <f>C13+декабрь18!D13</f>
        <v>-2210.14</v>
      </c>
      <c r="E13" s="9"/>
      <c r="F13" s="12">
        <f>E13+декабрь18!F13</f>
        <v>4568.2199999999993</v>
      </c>
      <c r="G13" s="12">
        <f t="shared" si="0"/>
        <v>0</v>
      </c>
      <c r="H13" s="14">
        <f t="shared" si="0"/>
        <v>6778.3599999999988</v>
      </c>
      <c r="I13" s="9"/>
      <c r="J13" s="14">
        <f>I13+декабрь18!J13</f>
        <v>0</v>
      </c>
      <c r="K13" s="3"/>
      <c r="L13" s="14">
        <f>K13+декабрь18!L13</f>
        <v>0</v>
      </c>
      <c r="M13" s="14">
        <f t="shared" si="1"/>
        <v>0</v>
      </c>
    </row>
    <row r="14" spans="1:13" ht="12.95" customHeight="1">
      <c r="A14" s="1">
        <f t="shared" si="2"/>
        <v>12</v>
      </c>
      <c r="B14" s="41" t="str">
        <f>ноябрь!B14</f>
        <v>Канализирование г. воды</v>
      </c>
      <c r="C14" s="3"/>
      <c r="D14" s="75">
        <f>C14+декабрь18!D14</f>
        <v>-1504.92</v>
      </c>
      <c r="E14" s="9"/>
      <c r="F14" s="12">
        <f>E14+декабрь18!F14</f>
        <v>2345.7900000000004</v>
      </c>
      <c r="G14" s="12">
        <f t="shared" si="0"/>
        <v>0</v>
      </c>
      <c r="H14" s="14">
        <f t="shared" si="0"/>
        <v>3850.7100000000005</v>
      </c>
      <c r="I14" s="9"/>
      <c r="J14" s="14">
        <f>I14+декабрь18!J14</f>
        <v>0</v>
      </c>
      <c r="K14" s="3"/>
      <c r="L14" s="14">
        <f>K14+декабрь18!L14</f>
        <v>0</v>
      </c>
      <c r="M14" s="14">
        <f t="shared" si="1"/>
        <v>0</v>
      </c>
    </row>
    <row r="15" spans="1:13" ht="12.95" customHeight="1">
      <c r="A15" s="1">
        <f t="shared" si="2"/>
        <v>13</v>
      </c>
      <c r="B15" s="41" t="str">
        <f>ноябрь!B15</f>
        <v>Тек.рем.общ.имущ.дома</v>
      </c>
      <c r="C15" s="3"/>
      <c r="D15" s="75">
        <f>C15+декабрь18!D15</f>
        <v>2304167.37</v>
      </c>
      <c r="E15" s="9"/>
      <c r="F15" s="12">
        <f>E15+декабрь18!F15</f>
        <v>2184167.3699999996</v>
      </c>
      <c r="G15" s="12">
        <f t="shared" si="0"/>
        <v>0</v>
      </c>
      <c r="H15" s="14">
        <f t="shared" si="0"/>
        <v>-120000.00000000047</v>
      </c>
      <c r="I15" s="9"/>
      <c r="J15" s="14">
        <f>I15+декабрь18!J15</f>
        <v>0</v>
      </c>
      <c r="K15" s="3"/>
      <c r="L15" s="14">
        <f>K15+декабрь18!L15</f>
        <v>0</v>
      </c>
      <c r="M15" s="14">
        <f t="shared" si="1"/>
        <v>0</v>
      </c>
    </row>
    <row r="16" spans="1:13" ht="12.95" customHeight="1">
      <c r="A16" s="1">
        <f t="shared" si="2"/>
        <v>14</v>
      </c>
      <c r="B16" s="41" t="str">
        <f>ноябрь!B16</f>
        <v>Сод.и тек.рем.в/дом.газосн.</v>
      </c>
      <c r="C16" s="3"/>
      <c r="D16" s="75">
        <f>C16+декабрь18!D16</f>
        <v>143780.29999999999</v>
      </c>
      <c r="E16" s="9"/>
      <c r="F16" s="12">
        <f>E16+декабрь18!F16</f>
        <v>133899.82999999999</v>
      </c>
      <c r="G16" s="12">
        <f t="shared" si="0"/>
        <v>0</v>
      </c>
      <c r="H16" s="14">
        <f t="shared" si="0"/>
        <v>-9880.4700000000012</v>
      </c>
      <c r="I16" s="9"/>
      <c r="J16" s="14">
        <f>I16+декабрь18!J16</f>
        <v>0</v>
      </c>
      <c r="K16" s="3"/>
      <c r="L16" s="14">
        <f>K16+декабрь18!L16</f>
        <v>0</v>
      </c>
      <c r="M16" s="14">
        <f t="shared" si="1"/>
        <v>0</v>
      </c>
    </row>
    <row r="17" spans="1:13" ht="12.95" customHeight="1">
      <c r="A17" s="1">
        <f t="shared" si="2"/>
        <v>15</v>
      </c>
      <c r="B17" s="41" t="str">
        <f>ноябрь!B17</f>
        <v>Управление многокв.домом</v>
      </c>
      <c r="C17" s="3"/>
      <c r="D17" s="75">
        <f>C17+декабрь18!D17</f>
        <v>1032158.2600000001</v>
      </c>
      <c r="E17" s="9"/>
      <c r="F17" s="12">
        <f>E17+декабрь18!F17</f>
        <v>948049.93</v>
      </c>
      <c r="G17" s="12">
        <f t="shared" si="0"/>
        <v>0</v>
      </c>
      <c r="H17" s="14">
        <f t="shared" si="0"/>
        <v>-84108.330000000075</v>
      </c>
      <c r="I17" s="9"/>
      <c r="J17" s="14">
        <f>I17+декабрь18!J17</f>
        <v>0</v>
      </c>
      <c r="K17" s="3"/>
      <c r="L17" s="14">
        <f>K17+декабрь18!L17</f>
        <v>0</v>
      </c>
      <c r="M17" s="14">
        <f t="shared" si="1"/>
        <v>0</v>
      </c>
    </row>
    <row r="18" spans="1:13" ht="12.95" customHeight="1">
      <c r="A18" s="1">
        <f t="shared" si="2"/>
        <v>16</v>
      </c>
      <c r="B18" s="41" t="str">
        <f>ноябрь!B18</f>
        <v>Водоотведение (кв)</v>
      </c>
      <c r="C18" s="3"/>
      <c r="D18" s="75">
        <f>C18+декабрь18!D18</f>
        <v>5372446.8300000001</v>
      </c>
      <c r="E18" s="9"/>
      <c r="F18" s="12">
        <f>E18+декабрь18!F18</f>
        <v>4854178.53</v>
      </c>
      <c r="G18" s="12">
        <f t="shared" si="0"/>
        <v>0</v>
      </c>
      <c r="H18" s="14">
        <f t="shared" si="0"/>
        <v>-518268.29999999981</v>
      </c>
      <c r="I18" s="9"/>
      <c r="J18" s="14">
        <f>I18+декабрь18!J18</f>
        <v>0</v>
      </c>
      <c r="K18" s="3"/>
      <c r="L18" s="14">
        <f>K18+декабрь18!L18</f>
        <v>0</v>
      </c>
      <c r="M18" s="14">
        <f t="shared" si="1"/>
        <v>0</v>
      </c>
    </row>
    <row r="19" spans="1:13" ht="12.95" customHeight="1">
      <c r="A19" s="1">
        <f t="shared" si="2"/>
        <v>17</v>
      </c>
      <c r="B19" s="41" t="str">
        <f>ноябрь!B19</f>
        <v>Электроснабж.на общед.нужды</v>
      </c>
      <c r="C19" s="3"/>
      <c r="D19" s="75">
        <f>C19+декабрь18!D19</f>
        <v>83258.100000000006</v>
      </c>
      <c r="E19" s="9"/>
      <c r="F19" s="12">
        <f>E19+декабрь18!F19</f>
        <v>80096.97</v>
      </c>
      <c r="G19" s="12">
        <f t="shared" si="0"/>
        <v>0</v>
      </c>
      <c r="H19" s="14">
        <f t="shared" si="0"/>
        <v>-3161.1300000000047</v>
      </c>
      <c r="I19" s="9"/>
      <c r="J19" s="14">
        <f>I19+декабрь18!J19</f>
        <v>0</v>
      </c>
      <c r="K19" s="3"/>
      <c r="L19" s="14">
        <f>K19+декабрь18!L19</f>
        <v>0</v>
      </c>
      <c r="M19" s="14">
        <f t="shared" si="1"/>
        <v>0</v>
      </c>
    </row>
    <row r="20" spans="1:13" ht="12.95" customHeight="1">
      <c r="A20" s="1">
        <f t="shared" si="2"/>
        <v>18</v>
      </c>
      <c r="B20" s="41" t="str">
        <f>ноябрь!B20</f>
        <v>Эксплуатация общед. ПУ</v>
      </c>
      <c r="C20" s="3"/>
      <c r="D20" s="75">
        <f>C20+декабрь18!D20</f>
        <v>208370.40000000002</v>
      </c>
      <c r="E20" s="9"/>
      <c r="F20" s="12">
        <f>E20+декабрь18!F20</f>
        <v>200190.94999999998</v>
      </c>
      <c r="G20" s="12">
        <f t="shared" si="0"/>
        <v>0</v>
      </c>
      <c r="H20" s="14">
        <f t="shared" si="0"/>
        <v>-8179.4500000000407</v>
      </c>
      <c r="I20" s="9"/>
      <c r="J20" s="14">
        <f>I20+декабрь18!J20</f>
        <v>0</v>
      </c>
      <c r="K20" s="3"/>
      <c r="L20" s="14">
        <f>K20+декабрь18!L20</f>
        <v>0</v>
      </c>
      <c r="M20" s="14">
        <f t="shared" si="1"/>
        <v>0</v>
      </c>
    </row>
    <row r="21" spans="1:13" ht="12.95" customHeight="1">
      <c r="A21" s="1">
        <f t="shared" si="2"/>
        <v>19</v>
      </c>
      <c r="B21" s="41" t="str">
        <f>ноябрь!B21</f>
        <v>Хол.водоснабж.(о/д нужды)</v>
      </c>
      <c r="C21" s="3"/>
      <c r="D21" s="75">
        <f>C21+декабрь18!D21</f>
        <v>81302.460000000006</v>
      </c>
      <c r="E21" s="9"/>
      <c r="F21" s="12">
        <f>E21+декабрь18!F21</f>
        <v>85806.489999999991</v>
      </c>
      <c r="G21" s="12">
        <f t="shared" si="0"/>
        <v>0</v>
      </c>
      <c r="H21" s="14">
        <f t="shared" si="0"/>
        <v>4504.0299999999843</v>
      </c>
      <c r="I21" s="9"/>
      <c r="J21" s="14">
        <f>I21+декабрь18!J21</f>
        <v>0</v>
      </c>
      <c r="K21" s="3"/>
      <c r="L21" s="14">
        <f>K21+декабрь18!L21</f>
        <v>0</v>
      </c>
      <c r="M21" s="14">
        <f t="shared" si="1"/>
        <v>0</v>
      </c>
    </row>
    <row r="22" spans="1:13" ht="12.95" customHeight="1">
      <c r="A22" s="1">
        <f t="shared" si="2"/>
        <v>20</v>
      </c>
      <c r="B22" s="41" t="str">
        <f>ноябрь!B22</f>
        <v>Водоотведение(о/д нужды)</v>
      </c>
      <c r="C22" s="3"/>
      <c r="D22" s="75">
        <f>C22+декабрь18!D22</f>
        <v>118323.09999999999</v>
      </c>
      <c r="E22" s="9"/>
      <c r="F22" s="12">
        <f>E22+декабрь18!F22</f>
        <v>153041.64000000001</v>
      </c>
      <c r="G22" s="12">
        <f t="shared" si="0"/>
        <v>0</v>
      </c>
      <c r="H22" s="14">
        <f t="shared" si="0"/>
        <v>34718.540000000023</v>
      </c>
      <c r="I22" s="9"/>
      <c r="J22" s="14">
        <f>I22+декабрь18!J22</f>
        <v>0</v>
      </c>
      <c r="K22" s="3"/>
      <c r="L22" s="14">
        <f>K22+декабрь18!L22</f>
        <v>0</v>
      </c>
      <c r="M22" s="14">
        <f t="shared" si="1"/>
        <v>0</v>
      </c>
    </row>
    <row r="23" spans="1:13" ht="12.95" customHeight="1">
      <c r="A23" s="1">
        <f t="shared" si="2"/>
        <v>21</v>
      </c>
      <c r="B23" s="41" t="str">
        <f>ноябрь!B23</f>
        <v>Отопление (о/д нужды)</v>
      </c>
      <c r="C23" s="3"/>
      <c r="D23" s="75">
        <f>C23+декабрь18!D23</f>
        <v>-848.48</v>
      </c>
      <c r="E23" s="9"/>
      <c r="F23" s="12">
        <f>E23+декабрь18!F23</f>
        <v>2652.03</v>
      </c>
      <c r="G23" s="12">
        <f t="shared" si="0"/>
        <v>0</v>
      </c>
      <c r="H23" s="14">
        <f t="shared" si="0"/>
        <v>3500.51</v>
      </c>
      <c r="I23" s="9"/>
      <c r="J23" s="14">
        <f>I23+декабрь18!J23</f>
        <v>0</v>
      </c>
      <c r="K23" s="3"/>
      <c r="L23" s="14">
        <f>K23+декабрь18!L23</f>
        <v>0</v>
      </c>
      <c r="M23" s="14">
        <f t="shared" si="1"/>
        <v>0</v>
      </c>
    </row>
    <row r="24" spans="1:13" ht="12.95" customHeight="1">
      <c r="A24" s="1">
        <f t="shared" si="2"/>
        <v>22</v>
      </c>
      <c r="B24" s="41" t="str">
        <f>ноябрь!B24</f>
        <v>Электроснабжение (общед.н)</v>
      </c>
      <c r="C24" s="3"/>
      <c r="D24" s="75">
        <f>C24+декабрь18!D24</f>
        <v>2070378.99</v>
      </c>
      <c r="E24" s="9"/>
      <c r="F24" s="12">
        <f>E24+декабрь18!F24</f>
        <v>2094865.6199999999</v>
      </c>
      <c r="G24" s="12">
        <f t="shared" si="0"/>
        <v>0</v>
      </c>
      <c r="H24" s="14">
        <f t="shared" si="0"/>
        <v>24486.629999999888</v>
      </c>
      <c r="I24" s="9"/>
      <c r="J24" s="14">
        <f>I24+декабрь18!J24</f>
        <v>0</v>
      </c>
      <c r="K24" s="3"/>
      <c r="L24" s="14">
        <f>K24+декабрь18!L24</f>
        <v>0</v>
      </c>
      <c r="M24" s="14">
        <f t="shared" si="1"/>
        <v>0</v>
      </c>
    </row>
    <row r="25" spans="1:13" ht="12.95" customHeight="1">
      <c r="A25" s="1">
        <f t="shared" si="2"/>
        <v>23</v>
      </c>
      <c r="B25" s="41" t="str">
        <f>ноябрь!B25</f>
        <v>Гор.водоснабж.(о/д нужды)</v>
      </c>
      <c r="C25" s="3"/>
      <c r="D25" s="75">
        <f>C25+декабрь18!D25</f>
        <v>187494.56000000003</v>
      </c>
      <c r="E25" s="9"/>
      <c r="F25" s="12">
        <f>E25+декабрь18!F25</f>
        <v>186513.37999999998</v>
      </c>
      <c r="G25" s="12">
        <f t="shared" si="0"/>
        <v>0</v>
      </c>
      <c r="H25" s="14">
        <f t="shared" si="0"/>
        <v>-981.18000000005122</v>
      </c>
      <c r="I25" s="9"/>
      <c r="J25" s="14">
        <f>I25+декабрь18!J25</f>
        <v>0</v>
      </c>
      <c r="K25" s="3"/>
      <c r="L25" s="14">
        <f>K25+декабрь18!L25</f>
        <v>0</v>
      </c>
      <c r="M25" s="14">
        <f t="shared" si="1"/>
        <v>0</v>
      </c>
    </row>
    <row r="26" spans="1:13" ht="12.95" customHeight="1">
      <c r="A26" s="1">
        <f t="shared" si="2"/>
        <v>24</v>
      </c>
      <c r="B26" s="41" t="str">
        <f>ноябрь!B26</f>
        <v>Капитальный ремонт</v>
      </c>
      <c r="C26" s="3"/>
      <c r="D26" s="75">
        <f>C26+декабрь18!D26</f>
        <v>0</v>
      </c>
      <c r="E26" s="9"/>
      <c r="F26" s="12">
        <f>E26+декабрь18!F26</f>
        <v>0</v>
      </c>
      <c r="G26" s="12">
        <f t="shared" si="0"/>
        <v>0</v>
      </c>
      <c r="H26" s="14">
        <f t="shared" si="0"/>
        <v>0</v>
      </c>
      <c r="I26" s="9">
        <v>0</v>
      </c>
      <c r="J26" s="14">
        <f>I26+декабрь18!J26</f>
        <v>0</v>
      </c>
      <c r="K26" s="3">
        <v>0</v>
      </c>
      <c r="L26" s="14">
        <f>K26+декабрь18!L26</f>
        <v>0</v>
      </c>
      <c r="M26" s="14">
        <f t="shared" si="1"/>
        <v>0</v>
      </c>
    </row>
    <row r="27" spans="1:13" ht="12.95" customHeight="1">
      <c r="A27" s="1">
        <f t="shared" si="2"/>
        <v>25</v>
      </c>
      <c r="B27" s="41" t="str">
        <f>ноябрь!B27</f>
        <v>Уборка лестн. Кл</v>
      </c>
      <c r="C27" s="3"/>
      <c r="D27" s="75">
        <f>C27+декабрь18!D27</f>
        <v>4670.8500000000004</v>
      </c>
      <c r="E27" s="9"/>
      <c r="F27" s="12">
        <f>E27+декабрь18!F27</f>
        <v>2749.94</v>
      </c>
      <c r="G27" s="12">
        <f t="shared" si="0"/>
        <v>0</v>
      </c>
      <c r="H27" s="14">
        <f t="shared" si="0"/>
        <v>-1920.9100000000003</v>
      </c>
      <c r="I27" s="9"/>
      <c r="J27" s="14">
        <f>I27+декабрь18!J27</f>
        <v>0</v>
      </c>
      <c r="K27" s="3"/>
      <c r="L27" s="14">
        <f>K27+декабрь18!L27</f>
        <v>0</v>
      </c>
      <c r="M27" s="14">
        <f t="shared" si="1"/>
        <v>0</v>
      </c>
    </row>
    <row r="28" spans="1:13" s="6" customFormat="1">
      <c r="A28" s="16"/>
      <c r="B28" s="17" t="s">
        <v>12</v>
      </c>
      <c r="C28" s="13">
        <f t="shared" ref="C28:L28" si="3">SUM(C3:C27)</f>
        <v>0</v>
      </c>
      <c r="D28" s="13">
        <f t="shared" si="3"/>
        <v>41495020.730000012</v>
      </c>
      <c r="E28" s="15">
        <f t="shared" si="3"/>
        <v>0</v>
      </c>
      <c r="F28" s="13">
        <f t="shared" si="3"/>
        <v>38355207.130000003</v>
      </c>
      <c r="G28" s="13">
        <f t="shared" si="3"/>
        <v>0</v>
      </c>
      <c r="H28" s="15">
        <f t="shared" si="3"/>
        <v>-3139813.5999999973</v>
      </c>
      <c r="I28" s="15">
        <f t="shared" si="3"/>
        <v>0</v>
      </c>
      <c r="J28" s="15">
        <f t="shared" si="3"/>
        <v>0</v>
      </c>
      <c r="K28" s="13">
        <f t="shared" si="3"/>
        <v>0</v>
      </c>
      <c r="L28" s="13">
        <f t="shared" si="3"/>
        <v>0</v>
      </c>
      <c r="M28" s="15">
        <f>SUM(M3:M27)</f>
        <v>0</v>
      </c>
    </row>
    <row r="29" spans="1:13" ht="3.75" customHeight="1"/>
    <row r="30" spans="1:13">
      <c r="B30" s="57" t="s">
        <v>42</v>
      </c>
      <c r="C30" s="58">
        <f>C12+C13+C14+C18+C21+C22</f>
        <v>0</v>
      </c>
      <c r="D30" s="58">
        <f t="shared" ref="D30:L30" si="4">D12+D13+D14+D18+D21+D22</f>
        <v>9002121.1300000008</v>
      </c>
      <c r="E30" s="58">
        <f t="shared" si="4"/>
        <v>0</v>
      </c>
      <c r="F30" s="58">
        <f t="shared" si="4"/>
        <v>8168405.9100000011</v>
      </c>
      <c r="G30" s="58">
        <f t="shared" si="4"/>
        <v>0</v>
      </c>
      <c r="H30" s="58">
        <f t="shared" si="4"/>
        <v>-833715.21999999927</v>
      </c>
      <c r="I30" s="58">
        <f t="shared" si="4"/>
        <v>0</v>
      </c>
      <c r="J30" s="58">
        <f t="shared" si="4"/>
        <v>0</v>
      </c>
      <c r="K30" s="58">
        <f t="shared" si="4"/>
        <v>0</v>
      </c>
      <c r="L30" s="58">
        <f t="shared" si="4"/>
        <v>0</v>
      </c>
    </row>
    <row r="31" spans="1:13">
      <c r="B31" s="57" t="s">
        <v>43</v>
      </c>
      <c r="C31" s="58">
        <f t="shared" ref="C31:L31" si="5">C11+C24+C19</f>
        <v>0</v>
      </c>
      <c r="D31" s="58">
        <f t="shared" si="5"/>
        <v>6104926.5799999991</v>
      </c>
      <c r="E31" s="58">
        <f t="shared" si="5"/>
        <v>0</v>
      </c>
      <c r="F31" s="58">
        <f t="shared" si="5"/>
        <v>5879574</v>
      </c>
      <c r="G31" s="58">
        <f t="shared" si="5"/>
        <v>0</v>
      </c>
      <c r="H31" s="58">
        <f t="shared" si="5"/>
        <v>-225352.57999999879</v>
      </c>
      <c r="I31" s="58">
        <f t="shared" si="5"/>
        <v>0</v>
      </c>
      <c r="J31" s="58">
        <f t="shared" si="5"/>
        <v>0</v>
      </c>
      <c r="K31" s="58">
        <f t="shared" si="5"/>
        <v>0</v>
      </c>
      <c r="L31" s="58">
        <f t="shared" si="5"/>
        <v>0</v>
      </c>
    </row>
    <row r="32" spans="1:13">
      <c r="B32" s="57" t="s">
        <v>44</v>
      </c>
      <c r="C32" s="58">
        <f>C4+C5+C23+C25</f>
        <v>0</v>
      </c>
      <c r="D32" s="58">
        <f t="shared" ref="D32:L32" si="6">D4+D5+D23+D25</f>
        <v>16594814.199999999</v>
      </c>
      <c r="E32" s="58">
        <f t="shared" si="6"/>
        <v>0</v>
      </c>
      <c r="F32" s="58">
        <f t="shared" si="6"/>
        <v>15140886.250000002</v>
      </c>
      <c r="G32" s="58">
        <f t="shared" si="6"/>
        <v>0</v>
      </c>
      <c r="H32" s="58">
        <f t="shared" si="6"/>
        <v>-1453927.9499999974</v>
      </c>
      <c r="I32" s="58">
        <f t="shared" si="6"/>
        <v>0</v>
      </c>
      <c r="J32" s="58">
        <f t="shared" si="6"/>
        <v>0</v>
      </c>
      <c r="K32" s="58">
        <f t="shared" si="6"/>
        <v>0</v>
      </c>
      <c r="L32" s="58">
        <f t="shared" si="6"/>
        <v>0</v>
      </c>
    </row>
    <row r="33" spans="2:12">
      <c r="B33" s="59" t="s">
        <v>39</v>
      </c>
      <c r="C33" s="58">
        <f t="shared" ref="C33:L33" si="7">C3+C7+C8+C9+C10+C15+C16+C17+C20</f>
        <v>0</v>
      </c>
      <c r="D33" s="58">
        <f t="shared" si="7"/>
        <v>9572063.3800000008</v>
      </c>
      <c r="E33" s="58">
        <f t="shared" si="7"/>
        <v>0</v>
      </c>
      <c r="F33" s="58">
        <f t="shared" si="7"/>
        <v>9022594.1499999985</v>
      </c>
      <c r="G33" s="58">
        <f t="shared" si="7"/>
        <v>0</v>
      </c>
      <c r="H33" s="58">
        <f t="shared" si="7"/>
        <v>-549469.23000000045</v>
      </c>
      <c r="I33" s="58">
        <f t="shared" si="7"/>
        <v>0</v>
      </c>
      <c r="J33" s="58">
        <f t="shared" si="7"/>
        <v>0</v>
      </c>
      <c r="K33" s="58">
        <f t="shared" si="7"/>
        <v>0</v>
      </c>
      <c r="L33" s="58">
        <f t="shared" si="7"/>
        <v>0</v>
      </c>
    </row>
    <row r="36" spans="2:12">
      <c r="C36" s="71"/>
      <c r="D36" s="74"/>
    </row>
    <row r="37" spans="2:12">
      <c r="C37" s="71"/>
      <c r="D37" s="74"/>
    </row>
    <row r="38" spans="2:12">
      <c r="C38" s="73"/>
      <c r="D38" s="73"/>
    </row>
  </sheetData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M36"/>
  <sheetViews>
    <sheetView topLeftCell="A7" workbookViewId="0">
      <selection activeCell="C26" sqref="C26:C27"/>
    </sheetView>
  </sheetViews>
  <sheetFormatPr defaultRowHeight="12.75"/>
  <cols>
    <col min="1" max="1" width="4.140625" customWidth="1"/>
    <col min="2" max="2" width="27.7109375" customWidth="1"/>
    <col min="3" max="3" width="12" customWidth="1"/>
    <col min="4" max="4" width="14" customWidth="1"/>
    <col min="5" max="5" width="13.85546875" customWidth="1"/>
    <col min="6" max="6" width="11.28515625" customWidth="1"/>
    <col min="7" max="7" width="11.7109375" customWidth="1"/>
    <col min="8" max="8" width="12" customWidth="1"/>
    <col min="9" max="9" width="10.140625" bestFit="1" customWidth="1"/>
    <col min="10" max="10" width="11.140625" customWidth="1"/>
    <col min="11" max="11" width="10.140625" bestFit="1" customWidth="1"/>
    <col min="12" max="12" width="10.85546875" customWidth="1"/>
  </cols>
  <sheetData>
    <row r="1" spans="1:13" ht="26.25" customHeight="1">
      <c r="B1" s="56" t="s">
        <v>49</v>
      </c>
    </row>
    <row r="2" spans="1:13" s="40" customFormat="1" ht="25.5">
      <c r="A2" s="35" t="s">
        <v>0</v>
      </c>
      <c r="B2" s="36" t="s">
        <v>1</v>
      </c>
      <c r="C2" s="37" t="s">
        <v>2</v>
      </c>
      <c r="D2" s="38" t="s">
        <v>3</v>
      </c>
      <c r="E2" s="36" t="s">
        <v>4</v>
      </c>
      <c r="F2" s="38" t="s">
        <v>5</v>
      </c>
      <c r="G2" s="38" t="s">
        <v>6</v>
      </c>
      <c r="H2" s="38" t="s">
        <v>7</v>
      </c>
      <c r="I2" s="36" t="s">
        <v>8</v>
      </c>
      <c r="J2" s="38" t="s">
        <v>9</v>
      </c>
      <c r="K2" s="36" t="s">
        <v>10</v>
      </c>
      <c r="L2" s="38" t="s">
        <v>11</v>
      </c>
      <c r="M2" s="39" t="s">
        <v>17</v>
      </c>
    </row>
    <row r="3" spans="1:13" s="40" customFormat="1">
      <c r="A3" s="35">
        <v>1</v>
      </c>
      <c r="B3" s="41" t="str">
        <f>Январь!B3</f>
        <v>Содержание общ.имущ.дома</v>
      </c>
      <c r="C3" s="42">
        <f>62471.12+287588.84</f>
        <v>350059.96</v>
      </c>
      <c r="D3" s="12">
        <f>C3+Январь!D3</f>
        <v>701874.46</v>
      </c>
      <c r="E3" s="42">
        <f>63292.74+258077.09</f>
        <v>321369.83</v>
      </c>
      <c r="F3" s="12">
        <f>E3+Январь!F3</f>
        <v>605293.13</v>
      </c>
      <c r="G3" s="12">
        <f>E3-C3</f>
        <v>-28690.130000000005</v>
      </c>
      <c r="H3" s="14">
        <f>F3-D3</f>
        <v>-96581.329999999958</v>
      </c>
      <c r="I3" s="4"/>
      <c r="J3" s="14">
        <f>I3+Январь!J3</f>
        <v>0</v>
      </c>
      <c r="K3" s="3"/>
      <c r="L3" s="12">
        <f>K3+Январь!L3</f>
        <v>0</v>
      </c>
      <c r="M3" s="14">
        <f>J3-L3</f>
        <v>0</v>
      </c>
    </row>
    <row r="4" spans="1:13">
      <c r="A4" s="1">
        <f>A3+1</f>
        <v>2</v>
      </c>
      <c r="B4" s="41" t="str">
        <f>Январь!B4</f>
        <v>Отопление</v>
      </c>
      <c r="C4" s="42">
        <f>267048.98+1200516.21</f>
        <v>1467565.19</v>
      </c>
      <c r="D4" s="12">
        <f>C4+Январь!D4</f>
        <v>2799373.83</v>
      </c>
      <c r="E4" s="42">
        <f>196901.18+905128.05</f>
        <v>1102029.23</v>
      </c>
      <c r="F4" s="12">
        <f>E4+Январь!F4</f>
        <v>1980875.62</v>
      </c>
      <c r="G4" s="12">
        <f t="shared" ref="G4:H27" si="0">E4-C4</f>
        <v>-365535.95999999996</v>
      </c>
      <c r="H4" s="14">
        <f t="shared" si="0"/>
        <v>-818498.21</v>
      </c>
      <c r="I4" s="4"/>
      <c r="J4" s="14">
        <f>I4+Январь!J4</f>
        <v>0</v>
      </c>
      <c r="K4" s="3"/>
      <c r="L4" s="12">
        <f>K4+Январь!L4</f>
        <v>0</v>
      </c>
      <c r="M4" s="14">
        <f t="shared" ref="M4:M27" si="1">J4-L4</f>
        <v>0</v>
      </c>
    </row>
    <row r="5" spans="1:13" ht="15.75" customHeight="1">
      <c r="A5" s="1">
        <f t="shared" ref="A5:A27" si="2">A4+1</f>
        <v>3</v>
      </c>
      <c r="B5" s="41" t="str">
        <f>Январь!B5</f>
        <v>Горячее водоснабжение</v>
      </c>
      <c r="C5" s="42">
        <f>114238.46+439106.99</f>
        <v>553345.44999999995</v>
      </c>
      <c r="D5" s="12">
        <f>C5+Январь!D5</f>
        <v>1083645.73</v>
      </c>
      <c r="E5" s="42">
        <f>94012.65+370686.9</f>
        <v>464699.55000000005</v>
      </c>
      <c r="F5" s="12">
        <f>E5+Январь!F5</f>
        <v>910174.04</v>
      </c>
      <c r="G5" s="12">
        <f t="shared" si="0"/>
        <v>-88645.899999999907</v>
      </c>
      <c r="H5" s="14">
        <f t="shared" si="0"/>
        <v>-173471.68999999994</v>
      </c>
      <c r="I5" s="4"/>
      <c r="J5" s="14">
        <f>I5+Январь!J5</f>
        <v>0</v>
      </c>
      <c r="K5" s="3"/>
      <c r="L5" s="12">
        <f>K5+Январь!L5</f>
        <v>0</v>
      </c>
      <c r="M5" s="14">
        <f t="shared" si="1"/>
        <v>0</v>
      </c>
    </row>
    <row r="6" spans="1:13">
      <c r="A6" s="1">
        <f t="shared" si="2"/>
        <v>4</v>
      </c>
      <c r="B6" s="41" t="str">
        <f>Январь!B6</f>
        <v>Газ</v>
      </c>
      <c r="C6" s="42">
        <f>10266.17+8386.43</f>
        <v>18652.599999999999</v>
      </c>
      <c r="D6" s="12">
        <f>C6+Январь!D6</f>
        <v>36838.559999999998</v>
      </c>
      <c r="E6" s="42">
        <f>5603.12+6255.36</f>
        <v>11858.48</v>
      </c>
      <c r="F6" s="12">
        <f>E6+Январь!F6</f>
        <v>26231.73</v>
      </c>
      <c r="G6" s="12">
        <f t="shared" si="0"/>
        <v>-6794.119999999999</v>
      </c>
      <c r="H6" s="14">
        <f t="shared" si="0"/>
        <v>-10606.829999999998</v>
      </c>
      <c r="I6" s="4"/>
      <c r="J6" s="14">
        <f>I6+Январь!J6</f>
        <v>0</v>
      </c>
      <c r="K6" s="3"/>
      <c r="L6" s="12">
        <f>K6+Январь!L6</f>
        <v>0</v>
      </c>
      <c r="M6" s="14">
        <f t="shared" si="1"/>
        <v>0</v>
      </c>
    </row>
    <row r="7" spans="1:13">
      <c r="A7" s="1">
        <f t="shared" si="2"/>
        <v>5</v>
      </c>
      <c r="B7" s="41" t="str">
        <f>Январь!B7</f>
        <v>Со.и ремонт АППЗ</v>
      </c>
      <c r="C7" s="42">
        <f>606.73+4575.76</f>
        <v>5182.49</v>
      </c>
      <c r="D7" s="12">
        <f>C7+Январь!D7</f>
        <v>10324.549999999999</v>
      </c>
      <c r="E7" s="42">
        <f>763.86+3868.44</f>
        <v>4632.3</v>
      </c>
      <c r="F7" s="12">
        <f>E7+Январь!F7</f>
        <v>8710.0300000000007</v>
      </c>
      <c r="G7" s="12">
        <f t="shared" si="0"/>
        <v>-550.1899999999996</v>
      </c>
      <c r="H7" s="14">
        <f t="shared" si="0"/>
        <v>-1614.5199999999986</v>
      </c>
      <c r="I7" s="4"/>
      <c r="J7" s="14">
        <f>I7+Январь!J7</f>
        <v>0</v>
      </c>
      <c r="K7" s="3"/>
      <c r="L7" s="12">
        <f>K7+Январь!L7</f>
        <v>0</v>
      </c>
      <c r="M7" s="14">
        <f t="shared" si="1"/>
        <v>0</v>
      </c>
    </row>
    <row r="8" spans="1:13">
      <c r="A8" s="1">
        <f t="shared" si="2"/>
        <v>6</v>
      </c>
      <c r="B8" s="41" t="str">
        <f>Январь!B8</f>
        <v>Сод.и ремонт лифтов</v>
      </c>
      <c r="C8" s="42">
        <f>4248.64+32359.39</f>
        <v>36608.03</v>
      </c>
      <c r="D8" s="12">
        <f>C8+Январь!D8</f>
        <v>73058.75</v>
      </c>
      <c r="E8" s="42">
        <f>5200.6+26863.86</f>
        <v>32064.46</v>
      </c>
      <c r="F8" s="12">
        <f>E8+Январь!F8</f>
        <v>61130.95</v>
      </c>
      <c r="G8" s="12">
        <f t="shared" si="0"/>
        <v>-4543.57</v>
      </c>
      <c r="H8" s="14">
        <f t="shared" si="0"/>
        <v>-11927.800000000003</v>
      </c>
      <c r="I8" s="4"/>
      <c r="J8" s="14">
        <f>I8+Январь!J8</f>
        <v>0</v>
      </c>
      <c r="K8" s="3"/>
      <c r="L8" s="12">
        <f>K8+Январь!L8</f>
        <v>0</v>
      </c>
      <c r="M8" s="14">
        <f t="shared" si="1"/>
        <v>0</v>
      </c>
    </row>
    <row r="9" spans="1:13">
      <c r="A9" s="1">
        <f t="shared" si="2"/>
        <v>7</v>
      </c>
      <c r="B9" s="41" t="str">
        <f>Январь!B9</f>
        <v>Очистка мусоропроводов</v>
      </c>
      <c r="C9" s="42">
        <f>2026.55+14411.37</f>
        <v>16437.920000000002</v>
      </c>
      <c r="D9" s="12">
        <f>C9+Январь!D9</f>
        <v>32725.72</v>
      </c>
      <c r="E9" s="42">
        <f>2415.69+12130.34</f>
        <v>14546.03</v>
      </c>
      <c r="F9" s="12">
        <f>E9+Январь!F9</f>
        <v>27431.07</v>
      </c>
      <c r="G9" s="12">
        <f t="shared" si="0"/>
        <v>-1891.8900000000012</v>
      </c>
      <c r="H9" s="14">
        <f t="shared" si="0"/>
        <v>-5294.6500000000015</v>
      </c>
      <c r="I9" s="4"/>
      <c r="J9" s="14">
        <f>I9+Январь!J9</f>
        <v>0</v>
      </c>
      <c r="K9" s="3"/>
      <c r="L9" s="12">
        <f>K9+Январь!L9</f>
        <v>0</v>
      </c>
      <c r="M9" s="14">
        <f t="shared" si="1"/>
        <v>0</v>
      </c>
    </row>
    <row r="10" spans="1:13">
      <c r="A10" s="1">
        <f t="shared" si="2"/>
        <v>8</v>
      </c>
      <c r="B10" s="41" t="str">
        <f>Январь!B10</f>
        <v>Уборка и сан.очистка зем.уч.</v>
      </c>
      <c r="C10" s="42">
        <f>9875.7+44251.23</f>
        <v>54126.930000000008</v>
      </c>
      <c r="D10" s="12">
        <f>C10+Январь!D10</f>
        <v>108321.94</v>
      </c>
      <c r="E10" s="42">
        <f>9610.48+39577.5</f>
        <v>49187.979999999996</v>
      </c>
      <c r="F10" s="12">
        <f>E10+Январь!F10</f>
        <v>92676.47</v>
      </c>
      <c r="G10" s="12">
        <f t="shared" si="0"/>
        <v>-4938.9500000000116</v>
      </c>
      <c r="H10" s="14">
        <f t="shared" si="0"/>
        <v>-15645.470000000001</v>
      </c>
      <c r="I10" s="4"/>
      <c r="J10" s="14">
        <f>I10+Январь!J10</f>
        <v>0</v>
      </c>
      <c r="K10" s="3"/>
      <c r="L10" s="12">
        <f>K10+Январь!L10</f>
        <v>0</v>
      </c>
      <c r="M10" s="14">
        <f t="shared" si="1"/>
        <v>0</v>
      </c>
    </row>
    <row r="11" spans="1:13">
      <c r="A11" s="1">
        <f t="shared" si="2"/>
        <v>9</v>
      </c>
      <c r="B11" s="41" t="str">
        <f>Январь!B11</f>
        <v>Электроснабжение (инд.потр)</v>
      </c>
      <c r="C11" s="42">
        <f>63465.66+257509.28</f>
        <v>320974.94</v>
      </c>
      <c r="D11" s="12">
        <f>C11+Январь!D11</f>
        <v>627705.17999999993</v>
      </c>
      <c r="E11" s="42">
        <f>66386.7+226387.47</f>
        <v>292774.17</v>
      </c>
      <c r="F11" s="12">
        <f>E11+Январь!F11</f>
        <v>552944.34</v>
      </c>
      <c r="G11" s="12">
        <f t="shared" si="0"/>
        <v>-28200.770000000019</v>
      </c>
      <c r="H11" s="14">
        <f t="shared" si="0"/>
        <v>-74760.839999999967</v>
      </c>
      <c r="I11" s="4"/>
      <c r="J11" s="14">
        <f>I11+Январь!J11</f>
        <v>0</v>
      </c>
      <c r="K11" s="3"/>
      <c r="L11" s="12">
        <f>K11+Январь!L11</f>
        <v>0</v>
      </c>
      <c r="M11" s="14">
        <f t="shared" si="1"/>
        <v>0</v>
      </c>
    </row>
    <row r="12" spans="1:13" ht="13.5" customHeight="1">
      <c r="A12" s="1">
        <f t="shared" si="2"/>
        <v>10</v>
      </c>
      <c r="B12" s="41" t="str">
        <f>Январь!B12</f>
        <v>Холодная вода</v>
      </c>
      <c r="C12" s="42">
        <f>62379.23+198717.57</f>
        <v>261096.80000000002</v>
      </c>
      <c r="D12" s="12">
        <f>C12+Январь!D12</f>
        <v>517040.25</v>
      </c>
      <c r="E12" s="42">
        <f>51246.25+172338.38</f>
        <v>223584.63</v>
      </c>
      <c r="F12" s="12">
        <f>E12+Январь!F12</f>
        <v>440920.32999999996</v>
      </c>
      <c r="G12" s="12">
        <f t="shared" si="0"/>
        <v>-37512.170000000013</v>
      </c>
      <c r="H12" s="14">
        <f t="shared" si="0"/>
        <v>-76119.920000000042</v>
      </c>
      <c r="I12" s="4"/>
      <c r="J12" s="14">
        <f>I12+Январь!J12</f>
        <v>0</v>
      </c>
      <c r="K12" s="3"/>
      <c r="L12" s="12">
        <f>K12+Январь!L12</f>
        <v>0</v>
      </c>
      <c r="M12" s="14">
        <f t="shared" si="1"/>
        <v>0</v>
      </c>
    </row>
    <row r="13" spans="1:13" ht="18" customHeight="1">
      <c r="A13" s="1">
        <f t="shared" si="2"/>
        <v>11</v>
      </c>
      <c r="B13" s="41" t="str">
        <f>Январь!B13</f>
        <v>Канализирование х. воды</v>
      </c>
      <c r="C13" s="3">
        <v>0</v>
      </c>
      <c r="D13" s="12">
        <f>C13+Январь!D13</f>
        <v>0</v>
      </c>
      <c r="E13" s="42">
        <v>95.88</v>
      </c>
      <c r="F13" s="12">
        <f>E13+Январь!F13</f>
        <v>95.88</v>
      </c>
      <c r="G13" s="12">
        <f t="shared" si="0"/>
        <v>95.88</v>
      </c>
      <c r="H13" s="14">
        <f t="shared" si="0"/>
        <v>95.88</v>
      </c>
      <c r="I13" s="4"/>
      <c r="J13" s="14">
        <f>I13+Январь!J13</f>
        <v>0</v>
      </c>
      <c r="K13" s="3"/>
      <c r="L13" s="12">
        <f>K13+Январь!L13</f>
        <v>0</v>
      </c>
      <c r="M13" s="14">
        <f t="shared" si="1"/>
        <v>0</v>
      </c>
    </row>
    <row r="14" spans="1:13">
      <c r="A14" s="1">
        <f t="shared" si="2"/>
        <v>12</v>
      </c>
      <c r="B14" s="41" t="str">
        <f>Январь!B14</f>
        <v>Канализирование г. воды</v>
      </c>
      <c r="C14" s="3">
        <v>0</v>
      </c>
      <c r="D14" s="12">
        <f>C14+Январь!D14</f>
        <v>0</v>
      </c>
      <c r="E14" s="42">
        <v>65.36</v>
      </c>
      <c r="F14" s="12">
        <f>E14+Январь!F14</f>
        <v>65.36</v>
      </c>
      <c r="G14" s="12">
        <f t="shared" si="0"/>
        <v>65.36</v>
      </c>
      <c r="H14" s="14">
        <f t="shared" si="0"/>
        <v>65.36</v>
      </c>
      <c r="I14" s="4"/>
      <c r="J14" s="14">
        <f>I14+Январь!J14</f>
        <v>0</v>
      </c>
      <c r="K14" s="3"/>
      <c r="L14" s="12">
        <f>K14+Январь!L14</f>
        <v>0</v>
      </c>
      <c r="M14" s="14">
        <f t="shared" si="1"/>
        <v>0</v>
      </c>
    </row>
    <row r="15" spans="1:13">
      <c r="A15" s="1">
        <f t="shared" si="2"/>
        <v>13</v>
      </c>
      <c r="B15" s="41" t="str">
        <f>Январь!B15</f>
        <v>Тек.рем.общ.имущ.дома</v>
      </c>
      <c r="C15" s="42">
        <f>33244.17+150163.27</f>
        <v>183407.44</v>
      </c>
      <c r="D15" s="12">
        <f>C15+Январь!D15</f>
        <v>367029.81</v>
      </c>
      <c r="E15" s="42">
        <f>33238.33+135226.15</f>
        <v>168464.47999999998</v>
      </c>
      <c r="F15" s="12">
        <f>E15+Январь!F15</f>
        <v>317983.57999999996</v>
      </c>
      <c r="G15" s="12">
        <f t="shared" si="0"/>
        <v>-14942.960000000021</v>
      </c>
      <c r="H15" s="14">
        <f t="shared" si="0"/>
        <v>-49046.23000000004</v>
      </c>
      <c r="I15" s="4"/>
      <c r="J15" s="14">
        <f>I15+Январь!J15</f>
        <v>0</v>
      </c>
      <c r="K15" s="3"/>
      <c r="L15" s="12">
        <f>K15+Январь!L15</f>
        <v>0</v>
      </c>
      <c r="M15" s="14">
        <f t="shared" si="1"/>
        <v>0</v>
      </c>
    </row>
    <row r="16" spans="1:13">
      <c r="A16" s="1">
        <f t="shared" si="2"/>
        <v>14</v>
      </c>
      <c r="B16" s="41" t="str">
        <f>Январь!B16</f>
        <v>Сод.и тек.рем.в/дом.газосн.</v>
      </c>
      <c r="C16" s="42">
        <f>2327.56+9049.78</f>
        <v>11377.34</v>
      </c>
      <c r="D16" s="12">
        <f>C16+Январь!D16</f>
        <v>22823.41</v>
      </c>
      <c r="E16" s="42">
        <f>2216+8542.27</f>
        <v>10758.27</v>
      </c>
      <c r="F16" s="12">
        <f>E16+Январь!F16</f>
        <v>20300.09</v>
      </c>
      <c r="G16" s="12">
        <f t="shared" si="0"/>
        <v>-619.06999999999971</v>
      </c>
      <c r="H16" s="14">
        <f t="shared" si="0"/>
        <v>-2523.3199999999997</v>
      </c>
      <c r="I16" s="4"/>
      <c r="J16" s="14">
        <f>I16+Январь!J16</f>
        <v>0</v>
      </c>
      <c r="K16" s="3"/>
      <c r="L16" s="12">
        <f>K16+Январь!L16</f>
        <v>0</v>
      </c>
      <c r="M16" s="14">
        <f t="shared" si="1"/>
        <v>0</v>
      </c>
    </row>
    <row r="17" spans="1:13">
      <c r="A17" s="1">
        <f t="shared" si="2"/>
        <v>15</v>
      </c>
      <c r="B17" s="41" t="str">
        <f>Январь!B17</f>
        <v>Управление многокв.домом</v>
      </c>
      <c r="C17" s="42">
        <f>13614.01+61974.15</f>
        <v>75588.160000000003</v>
      </c>
      <c r="D17" s="12">
        <f>C17+Январь!D17</f>
        <v>151671.54</v>
      </c>
      <c r="E17" s="42">
        <f>12979.56+54990.13</f>
        <v>67969.69</v>
      </c>
      <c r="F17" s="12">
        <f>E17+Январь!F17</f>
        <v>128140.58</v>
      </c>
      <c r="G17" s="12">
        <f t="shared" si="0"/>
        <v>-7618.4700000000012</v>
      </c>
      <c r="H17" s="14">
        <f t="shared" si="0"/>
        <v>-23530.960000000006</v>
      </c>
      <c r="I17" s="4"/>
      <c r="J17" s="14">
        <f>I17+Январь!J17</f>
        <v>0</v>
      </c>
      <c r="K17" s="3"/>
      <c r="L17" s="12">
        <f>K17+Январь!L17</f>
        <v>0</v>
      </c>
      <c r="M17" s="14">
        <f t="shared" si="1"/>
        <v>0</v>
      </c>
    </row>
    <row r="18" spans="1:13">
      <c r="A18" s="1">
        <f t="shared" si="2"/>
        <v>16</v>
      </c>
      <c r="B18" s="41" t="str">
        <f>Январь!B18</f>
        <v>Водоотведение (кв)</v>
      </c>
      <c r="C18" s="42">
        <f>94245.65+320718.4</f>
        <v>414964.05000000005</v>
      </c>
      <c r="D18" s="12">
        <f>C18+Январь!D18</f>
        <v>817997.42</v>
      </c>
      <c r="E18" s="42">
        <f>77980.91+277034.26</f>
        <v>355015.17000000004</v>
      </c>
      <c r="F18" s="12">
        <f>E18+Январь!F18</f>
        <v>699636.73</v>
      </c>
      <c r="G18" s="12">
        <f t="shared" si="0"/>
        <v>-59948.880000000005</v>
      </c>
      <c r="H18" s="14">
        <f t="shared" si="0"/>
        <v>-118360.69000000006</v>
      </c>
      <c r="I18" s="4"/>
      <c r="J18" s="14">
        <f>I18+Январь!J18</f>
        <v>0</v>
      </c>
      <c r="K18" s="3"/>
      <c r="L18" s="12">
        <f>K18+Январь!L18</f>
        <v>0</v>
      </c>
      <c r="M18" s="14">
        <f t="shared" si="1"/>
        <v>0</v>
      </c>
    </row>
    <row r="19" spans="1:13" ht="15.75" customHeight="1">
      <c r="A19" s="1">
        <f t="shared" si="2"/>
        <v>17</v>
      </c>
      <c r="B19" s="41" t="str">
        <f>Январь!B19</f>
        <v>Электроснабж.на общед.нужды</v>
      </c>
      <c r="C19" s="42">
        <f>992.43+6838.94</f>
        <v>7831.37</v>
      </c>
      <c r="D19" s="12">
        <f>C19+Январь!D19</f>
        <v>14348.03</v>
      </c>
      <c r="E19" s="42">
        <f>998.15+4953.79</f>
        <v>5951.94</v>
      </c>
      <c r="F19" s="12">
        <f>E19+Январь!F19</f>
        <v>11334.349999999999</v>
      </c>
      <c r="G19" s="12">
        <f t="shared" si="0"/>
        <v>-1879.4300000000003</v>
      </c>
      <c r="H19" s="14">
        <f t="shared" si="0"/>
        <v>-3013.6800000000021</v>
      </c>
      <c r="I19" s="4"/>
      <c r="J19" s="14">
        <f>I19+Январь!J19</f>
        <v>0</v>
      </c>
      <c r="K19" s="3"/>
      <c r="L19" s="12">
        <f>K19+Январь!L19</f>
        <v>0</v>
      </c>
      <c r="M19" s="14">
        <f t="shared" si="1"/>
        <v>0</v>
      </c>
    </row>
    <row r="20" spans="1:13">
      <c r="A20" s="1">
        <f t="shared" si="2"/>
        <v>18</v>
      </c>
      <c r="B20" s="41" t="str">
        <f>Январь!B20</f>
        <v>Эксплуатация общед. ПУ</v>
      </c>
      <c r="C20" s="42">
        <f>2622.41+13921.12</f>
        <v>16543.53</v>
      </c>
      <c r="D20" s="12">
        <f>C20+Январь!D20</f>
        <v>33055.86</v>
      </c>
      <c r="E20" s="42">
        <f>2560.32+12753.69</f>
        <v>15314.01</v>
      </c>
      <c r="F20" s="12">
        <f>E20+Январь!F20</f>
        <v>28739.21</v>
      </c>
      <c r="G20" s="12">
        <f t="shared" si="0"/>
        <v>-1229.5199999999986</v>
      </c>
      <c r="H20" s="14">
        <f t="shared" si="0"/>
        <v>-4316.6500000000015</v>
      </c>
      <c r="I20" s="4"/>
      <c r="J20" s="14">
        <f>I20+Январь!J20</f>
        <v>0</v>
      </c>
      <c r="K20" s="3"/>
      <c r="L20" s="12">
        <f>K20+Январь!L20</f>
        <v>0</v>
      </c>
      <c r="M20" s="14">
        <f t="shared" si="1"/>
        <v>0</v>
      </c>
    </row>
    <row r="21" spans="1:13">
      <c r="A21" s="1">
        <f t="shared" si="2"/>
        <v>19</v>
      </c>
      <c r="B21" s="41" t="str">
        <f>Январь!B21</f>
        <v>Хол.водоснабж.(о/д нужды)</v>
      </c>
      <c r="C21" s="42">
        <f>1000.59+5267.06</f>
        <v>6267.6500000000005</v>
      </c>
      <c r="D21" s="12">
        <f>C21+Январь!D21</f>
        <v>12190.02</v>
      </c>
      <c r="E21" s="42">
        <f>1573.8+5093.59</f>
        <v>6667.39</v>
      </c>
      <c r="F21" s="12">
        <f>E21+Январь!F21</f>
        <v>11942.62</v>
      </c>
      <c r="G21" s="12">
        <f t="shared" si="0"/>
        <v>399.73999999999978</v>
      </c>
      <c r="H21" s="14">
        <f t="shared" si="0"/>
        <v>-247.39999999999964</v>
      </c>
      <c r="I21" s="4"/>
      <c r="J21" s="14">
        <f>I21+Январь!J21</f>
        <v>0</v>
      </c>
      <c r="K21" s="3"/>
      <c r="L21" s="12">
        <f>K21+Январь!L21</f>
        <v>0</v>
      </c>
      <c r="M21" s="14">
        <f t="shared" si="1"/>
        <v>0</v>
      </c>
    </row>
    <row r="22" spans="1:13">
      <c r="A22" s="1">
        <f t="shared" si="2"/>
        <v>20</v>
      </c>
      <c r="B22" s="41" t="str">
        <f>Январь!B22</f>
        <v>Водоотведение(о/д нужды)</v>
      </c>
      <c r="C22" s="3">
        <v>0</v>
      </c>
      <c r="D22" s="12">
        <f>C22+Январь!D22</f>
        <v>0</v>
      </c>
      <c r="E22" s="42">
        <v>135.74</v>
      </c>
      <c r="F22" s="12">
        <f>E22+Январь!F22</f>
        <v>-7.0999999999999943</v>
      </c>
      <c r="G22" s="12">
        <f t="shared" si="0"/>
        <v>135.74</v>
      </c>
      <c r="H22" s="14">
        <f t="shared" si="0"/>
        <v>-7.0999999999999943</v>
      </c>
      <c r="I22" s="4"/>
      <c r="J22" s="14">
        <f>I22+Январь!J22</f>
        <v>0</v>
      </c>
      <c r="K22" s="3"/>
      <c r="L22" s="12">
        <f>K22+Январь!L22</f>
        <v>0</v>
      </c>
      <c r="M22" s="14">
        <f t="shared" si="1"/>
        <v>0</v>
      </c>
    </row>
    <row r="23" spans="1:13">
      <c r="A23" s="1">
        <f t="shared" si="2"/>
        <v>21</v>
      </c>
      <c r="B23" s="41" t="str">
        <f>Январь!B23</f>
        <v>Отопление (о/д нужды)</v>
      </c>
      <c r="C23" s="3">
        <v>0</v>
      </c>
      <c r="D23" s="12">
        <f>C23+Январь!D23</f>
        <v>0</v>
      </c>
      <c r="E23" s="42">
        <v>759.11</v>
      </c>
      <c r="F23" s="12">
        <f>E23+Январь!F23</f>
        <v>1005</v>
      </c>
      <c r="G23" s="12">
        <f t="shared" si="0"/>
        <v>759.11</v>
      </c>
      <c r="H23" s="14">
        <f t="shared" si="0"/>
        <v>1005</v>
      </c>
      <c r="I23" s="4"/>
      <c r="J23" s="14">
        <f>I23+Январь!J23</f>
        <v>0</v>
      </c>
      <c r="K23" s="3"/>
      <c r="L23" s="12">
        <f>K23+Январь!L23</f>
        <v>0</v>
      </c>
      <c r="M23" s="14">
        <f t="shared" si="1"/>
        <v>0</v>
      </c>
    </row>
    <row r="24" spans="1:13" ht="16.5" customHeight="1">
      <c r="A24" s="1">
        <f t="shared" si="2"/>
        <v>22</v>
      </c>
      <c r="B24" s="41" t="str">
        <f>Январь!B24</f>
        <v>Электроснабжение (общед.н)</v>
      </c>
      <c r="C24" s="42">
        <f>42739.72+214151.55+8434.02</f>
        <v>265325.28999999998</v>
      </c>
      <c r="D24" s="12">
        <f>C24+Январь!D24</f>
        <v>523044.41</v>
      </c>
      <c r="E24" s="42">
        <f>49553.13+198426.64+2521.11</f>
        <v>250500.88</v>
      </c>
      <c r="F24" s="12">
        <f>E24+Январь!F24</f>
        <v>464480.65</v>
      </c>
      <c r="G24" s="12">
        <f t="shared" si="0"/>
        <v>-14824.409999999974</v>
      </c>
      <c r="H24" s="14">
        <f t="shared" si="0"/>
        <v>-58563.759999999951</v>
      </c>
      <c r="I24" s="4"/>
      <c r="J24" s="14">
        <f>I24+Январь!J24</f>
        <v>0</v>
      </c>
      <c r="K24" s="3"/>
      <c r="L24" s="12">
        <f>K24+Январь!L24</f>
        <v>0</v>
      </c>
      <c r="M24" s="14">
        <f t="shared" si="1"/>
        <v>0</v>
      </c>
    </row>
    <row r="25" spans="1:13">
      <c r="A25" s="1">
        <f t="shared" si="2"/>
        <v>23</v>
      </c>
      <c r="B25" s="41" t="str">
        <f>Январь!B25</f>
        <v>Гор.водоснабж.(о/д нужды)</v>
      </c>
      <c r="C25" s="42">
        <f>2007.86+11046.17</f>
        <v>13054.03</v>
      </c>
      <c r="D25" s="12">
        <f>C25+Январь!D25</f>
        <v>25948.400000000001</v>
      </c>
      <c r="E25" s="42">
        <f>2271.61+9828.84</f>
        <v>12100.45</v>
      </c>
      <c r="F25" s="12">
        <f>E25+Январь!F25</f>
        <v>22266.92</v>
      </c>
      <c r="G25" s="12">
        <f t="shared" si="0"/>
        <v>-953.57999999999993</v>
      </c>
      <c r="H25" s="14">
        <f t="shared" si="0"/>
        <v>-3681.4800000000032</v>
      </c>
      <c r="I25" s="4"/>
      <c r="J25" s="14">
        <f>I25+Январь!J25</f>
        <v>0</v>
      </c>
      <c r="K25" s="3"/>
      <c r="L25" s="12">
        <f>K25+Январь!L25</f>
        <v>0</v>
      </c>
      <c r="M25" s="14">
        <f t="shared" si="1"/>
        <v>0</v>
      </c>
    </row>
    <row r="26" spans="1:13">
      <c r="A26" s="1">
        <f t="shared" si="2"/>
        <v>24</v>
      </c>
      <c r="B26" s="41" t="str">
        <f>Январь!B26</f>
        <v>Капитальный ремонт</v>
      </c>
      <c r="C26" s="3">
        <v>0</v>
      </c>
      <c r="D26" s="12">
        <f>C26+Январь!D26</f>
        <v>0</v>
      </c>
      <c r="E26" s="3">
        <v>0</v>
      </c>
      <c r="F26" s="12">
        <f>E26+Январь!F26</f>
        <v>0</v>
      </c>
      <c r="G26" s="12">
        <f t="shared" si="0"/>
        <v>0</v>
      </c>
      <c r="H26" s="14">
        <f t="shared" si="0"/>
        <v>0</v>
      </c>
      <c r="I26" s="4"/>
      <c r="J26" s="14">
        <f>I26+Январь!J26</f>
        <v>0</v>
      </c>
      <c r="K26" s="3"/>
      <c r="L26" s="12">
        <f>K26+Январь!L26</f>
        <v>0</v>
      </c>
      <c r="M26" s="14">
        <f t="shared" si="1"/>
        <v>0</v>
      </c>
    </row>
    <row r="27" spans="1:13">
      <c r="A27" s="1">
        <f t="shared" si="2"/>
        <v>25</v>
      </c>
      <c r="B27" s="41" t="s">
        <v>41</v>
      </c>
      <c r="C27" s="3">
        <v>0</v>
      </c>
      <c r="D27" s="12">
        <f>C27+Январь!D27</f>
        <v>4670.8500000000004</v>
      </c>
      <c r="E27" s="3">
        <v>0</v>
      </c>
      <c r="F27" s="12">
        <f>E27+Январь!F27</f>
        <v>2749.94</v>
      </c>
      <c r="G27" s="12">
        <f t="shared" si="0"/>
        <v>0</v>
      </c>
      <c r="H27" s="14">
        <f t="shared" si="0"/>
        <v>-1920.9100000000003</v>
      </c>
      <c r="I27" s="4"/>
      <c r="J27" s="14">
        <f>I27+Январь!J27</f>
        <v>0</v>
      </c>
      <c r="K27" s="3"/>
      <c r="L27" s="12">
        <f>K27+Январь!L27</f>
        <v>0</v>
      </c>
      <c r="M27" s="14">
        <f t="shared" si="1"/>
        <v>0</v>
      </c>
    </row>
    <row r="28" spans="1:13" s="6" customFormat="1">
      <c r="A28" s="16"/>
      <c r="B28" s="17" t="s">
        <v>12</v>
      </c>
      <c r="C28" s="13">
        <f t="shared" ref="C28:L28" si="3">SUM(C3:C27)</f>
        <v>4078409.1699999995</v>
      </c>
      <c r="D28" s="13">
        <f t="shared" si="3"/>
        <v>7963688.7199999988</v>
      </c>
      <c r="E28" s="15">
        <f t="shared" si="3"/>
        <v>3410545.03</v>
      </c>
      <c r="F28" s="13">
        <f t="shared" si="3"/>
        <v>6415121.5200000005</v>
      </c>
      <c r="G28" s="13">
        <f t="shared" si="3"/>
        <v>-667864.14</v>
      </c>
      <c r="H28" s="15">
        <f t="shared" si="3"/>
        <v>-1548567.1999999995</v>
      </c>
      <c r="I28" s="15">
        <f t="shared" si="3"/>
        <v>0</v>
      </c>
      <c r="J28" s="15">
        <f t="shared" si="3"/>
        <v>0</v>
      </c>
      <c r="K28" s="13">
        <f t="shared" si="3"/>
        <v>0</v>
      </c>
      <c r="L28" s="13">
        <f t="shared" si="3"/>
        <v>0</v>
      </c>
      <c r="M28" s="15">
        <f>SUM(M3:M27)</f>
        <v>0</v>
      </c>
    </row>
    <row r="29" spans="1:13">
      <c r="A29" s="1"/>
      <c r="B29" s="2"/>
      <c r="C29" s="3"/>
      <c r="D29" s="3"/>
      <c r="E29" s="4"/>
      <c r="F29" s="3"/>
      <c r="G29" s="3"/>
      <c r="H29" s="4"/>
      <c r="I29" s="4"/>
      <c r="J29" s="4"/>
      <c r="K29" s="3"/>
      <c r="L29" s="3"/>
      <c r="M29" s="1"/>
    </row>
    <row r="30" spans="1:13">
      <c r="B30" s="57" t="s">
        <v>42</v>
      </c>
      <c r="C30" s="58">
        <f>C12+C13+C14+C18+C21+C22</f>
        <v>682328.50000000012</v>
      </c>
      <c r="D30" s="58">
        <f t="shared" ref="D30:L30" si="4">D12+D13+D14+D18+D21+D22</f>
        <v>1347227.69</v>
      </c>
      <c r="E30" s="58">
        <f t="shared" si="4"/>
        <v>585564.17000000004</v>
      </c>
      <c r="F30" s="58">
        <f t="shared" si="4"/>
        <v>1152653.8199999998</v>
      </c>
      <c r="G30" s="58">
        <f t="shared" si="4"/>
        <v>-96764.330000000016</v>
      </c>
      <c r="H30" s="58">
        <f t="shared" si="4"/>
        <v>-194573.87000000011</v>
      </c>
      <c r="I30" s="58">
        <f t="shared" si="4"/>
        <v>0</v>
      </c>
      <c r="J30" s="58">
        <f t="shared" si="4"/>
        <v>0</v>
      </c>
      <c r="K30" s="58">
        <f t="shared" si="4"/>
        <v>0</v>
      </c>
      <c r="L30" s="58">
        <f t="shared" si="4"/>
        <v>0</v>
      </c>
    </row>
    <row r="31" spans="1:13">
      <c r="B31" s="57" t="s">
        <v>43</v>
      </c>
      <c r="C31" s="58">
        <f t="shared" ref="C31:L31" si="5">C11+C24+C19</f>
        <v>594131.6</v>
      </c>
      <c r="D31" s="58">
        <f t="shared" si="5"/>
        <v>1165097.6199999999</v>
      </c>
      <c r="E31" s="58">
        <f t="shared" si="5"/>
        <v>549226.99</v>
      </c>
      <c r="F31" s="58">
        <f t="shared" si="5"/>
        <v>1028759.34</v>
      </c>
      <c r="G31" s="58">
        <f t="shared" si="5"/>
        <v>-44904.609999999993</v>
      </c>
      <c r="H31" s="58">
        <f t="shared" si="5"/>
        <v>-136338.27999999991</v>
      </c>
      <c r="I31" s="58">
        <f t="shared" si="5"/>
        <v>0</v>
      </c>
      <c r="J31" s="58">
        <f t="shared" si="5"/>
        <v>0</v>
      </c>
      <c r="K31" s="58">
        <f t="shared" si="5"/>
        <v>0</v>
      </c>
      <c r="L31" s="58">
        <f t="shared" si="5"/>
        <v>0</v>
      </c>
    </row>
    <row r="32" spans="1:13">
      <c r="B32" s="57" t="s">
        <v>44</v>
      </c>
      <c r="C32" s="58">
        <f>C4+C5+C23+C25</f>
        <v>2033964.67</v>
      </c>
      <c r="D32" s="58">
        <f t="shared" ref="D32:L32" si="6">D4+D5+D23+D25</f>
        <v>3908967.96</v>
      </c>
      <c r="E32" s="58">
        <f t="shared" si="6"/>
        <v>1579588.34</v>
      </c>
      <c r="F32" s="58">
        <f t="shared" si="6"/>
        <v>2914321.58</v>
      </c>
      <c r="G32" s="58">
        <f t="shared" si="6"/>
        <v>-454376.3299999999</v>
      </c>
      <c r="H32" s="58">
        <f t="shared" si="6"/>
        <v>-994646.37999999989</v>
      </c>
      <c r="I32" s="58">
        <f t="shared" si="6"/>
        <v>0</v>
      </c>
      <c r="J32" s="58">
        <f t="shared" si="6"/>
        <v>0</v>
      </c>
      <c r="K32" s="58">
        <f t="shared" si="6"/>
        <v>0</v>
      </c>
      <c r="L32" s="58">
        <f t="shared" si="6"/>
        <v>0</v>
      </c>
    </row>
    <row r="33" spans="2:12">
      <c r="B33" s="59" t="s">
        <v>39</v>
      </c>
      <c r="C33" s="58">
        <f t="shared" ref="C33:L33" si="7">C3+C7+C8+C9+C10+C15+C16+C17+C20</f>
        <v>749331.8</v>
      </c>
      <c r="D33" s="58">
        <f t="shared" si="7"/>
        <v>1500886.04</v>
      </c>
      <c r="E33" s="58">
        <f t="shared" si="7"/>
        <v>684307.05</v>
      </c>
      <c r="F33" s="58">
        <f t="shared" si="7"/>
        <v>1290405.1100000001</v>
      </c>
      <c r="G33" s="58">
        <f t="shared" si="7"/>
        <v>-65024.750000000029</v>
      </c>
      <c r="H33" s="58">
        <f t="shared" si="7"/>
        <v>-210480.93000000002</v>
      </c>
      <c r="I33" s="58">
        <f t="shared" si="7"/>
        <v>0</v>
      </c>
      <c r="J33" s="58">
        <f t="shared" si="7"/>
        <v>0</v>
      </c>
      <c r="K33" s="58">
        <f t="shared" si="7"/>
        <v>0</v>
      </c>
      <c r="L33" s="58">
        <f t="shared" si="7"/>
        <v>0</v>
      </c>
    </row>
    <row r="36" spans="2:12">
      <c r="C36">
        <f>789421.64+3288987.53</f>
        <v>4078409.17</v>
      </c>
      <c r="E36">
        <f>679699.93+2730845.1</f>
        <v>3410545.0300000003</v>
      </c>
    </row>
  </sheetData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M39"/>
  <sheetViews>
    <sheetView topLeftCell="A7" zoomScaleNormal="100" workbookViewId="0">
      <selection activeCell="E26" sqref="E26:E27"/>
    </sheetView>
  </sheetViews>
  <sheetFormatPr defaultRowHeight="12.75"/>
  <cols>
    <col min="1" max="1" width="4" customWidth="1"/>
    <col min="2" max="2" width="37.85546875" customWidth="1"/>
    <col min="3" max="3" width="10.85546875" customWidth="1"/>
    <col min="4" max="4" width="12.140625" customWidth="1"/>
    <col min="5" max="5" width="11.7109375" customWidth="1"/>
    <col min="6" max="6" width="12.5703125" customWidth="1"/>
    <col min="7" max="7" width="12.42578125" customWidth="1"/>
    <col min="8" max="8" width="13.85546875" customWidth="1"/>
    <col min="9" max="9" width="10.140625" bestFit="1" customWidth="1"/>
    <col min="10" max="10" width="11.5703125" customWidth="1"/>
    <col min="11" max="11" width="10.140625" bestFit="1" customWidth="1"/>
    <col min="12" max="12" width="9.85546875" customWidth="1"/>
    <col min="13" max="13" width="11.85546875" customWidth="1"/>
  </cols>
  <sheetData>
    <row r="1" spans="1:13" ht="20.25" customHeight="1">
      <c r="B1" s="56" t="s">
        <v>50</v>
      </c>
    </row>
    <row r="2" spans="1:13" s="40" customFormat="1" ht="36.75" customHeight="1">
      <c r="A2" s="35" t="s">
        <v>0</v>
      </c>
      <c r="B2" s="36" t="s">
        <v>1</v>
      </c>
      <c r="C2" s="37" t="s">
        <v>2</v>
      </c>
      <c r="D2" s="38" t="s">
        <v>3</v>
      </c>
      <c r="E2" s="36" t="s">
        <v>4</v>
      </c>
      <c r="F2" s="38" t="s">
        <v>5</v>
      </c>
      <c r="G2" s="38" t="s">
        <v>6</v>
      </c>
      <c r="H2" s="38" t="s">
        <v>7</v>
      </c>
      <c r="I2" s="36" t="s">
        <v>8</v>
      </c>
      <c r="J2" s="38" t="s">
        <v>9</v>
      </c>
      <c r="K2" s="36" t="s">
        <v>10</v>
      </c>
      <c r="L2" s="38" t="s">
        <v>11</v>
      </c>
      <c r="M2" s="39" t="s">
        <v>19</v>
      </c>
    </row>
    <row r="3" spans="1:13">
      <c r="A3" s="1">
        <v>1</v>
      </c>
      <c r="B3" s="41" t="str">
        <f>февраль!B3</f>
        <v>Содержание общ.имущ.дома</v>
      </c>
      <c r="C3" s="3">
        <f>290359.84+61111.41</f>
        <v>351471.25</v>
      </c>
      <c r="D3" s="12">
        <f>C3+февраль!D3</f>
        <v>1053345.71</v>
      </c>
      <c r="E3" s="4">
        <f>267610.51+66371.6</f>
        <v>333982.11</v>
      </c>
      <c r="F3" s="12">
        <f>E3+февраль!F3</f>
        <v>939275.24</v>
      </c>
      <c r="G3" s="12">
        <f>E3-C3</f>
        <v>-17489.140000000014</v>
      </c>
      <c r="H3" s="14">
        <f>F3-D3</f>
        <v>-114070.46999999997</v>
      </c>
      <c r="I3" s="4"/>
      <c r="J3" s="14">
        <f>I3+февраль!J3</f>
        <v>0</v>
      </c>
      <c r="K3" s="3"/>
      <c r="L3" s="12">
        <f>K3+февраль!L3</f>
        <v>0</v>
      </c>
      <c r="M3" s="14">
        <f>J3-L3</f>
        <v>0</v>
      </c>
    </row>
    <row r="4" spans="1:13">
      <c r="A4" s="1">
        <f>A3+1</f>
        <v>2</v>
      </c>
      <c r="B4" s="41" t="str">
        <f>февраль!B4</f>
        <v>Отопление</v>
      </c>
      <c r="C4" s="3">
        <f>1177141.47+260948.74</f>
        <v>1438090.21</v>
      </c>
      <c r="D4" s="12">
        <f>C4+февраль!D4</f>
        <v>4237464.04</v>
      </c>
      <c r="E4" s="4">
        <f>1040530.82+227273.09</f>
        <v>1267803.9099999999</v>
      </c>
      <c r="F4" s="12">
        <f>E4+февраль!F4</f>
        <v>3248679.5300000003</v>
      </c>
      <c r="G4" s="12">
        <f t="shared" ref="G4:H27" si="0">E4-C4</f>
        <v>-170286.30000000005</v>
      </c>
      <c r="H4" s="14">
        <f t="shared" si="0"/>
        <v>-988784.50999999978</v>
      </c>
      <c r="I4" s="4"/>
      <c r="J4" s="14">
        <f>I4+февраль!J4</f>
        <v>0</v>
      </c>
      <c r="K4" s="3"/>
      <c r="L4" s="12">
        <f>K4+февраль!L4</f>
        <v>0</v>
      </c>
      <c r="M4" s="14">
        <f t="shared" ref="M4:M27" si="1">J4-L4</f>
        <v>0</v>
      </c>
    </row>
    <row r="5" spans="1:13">
      <c r="A5" s="1">
        <f t="shared" ref="A5:A27" si="2">A4+1</f>
        <v>3</v>
      </c>
      <c r="B5" s="41" t="str">
        <f>февраль!B5</f>
        <v>Горячее водоснабжение</v>
      </c>
      <c r="C5" s="3">
        <f>436702.16+109636.61</f>
        <v>546338.77</v>
      </c>
      <c r="D5" s="12">
        <f>C5+февраль!D5</f>
        <v>1629984.5</v>
      </c>
      <c r="E5" s="4">
        <f>389579.07+118705.02</f>
        <v>508284.09</v>
      </c>
      <c r="F5" s="12">
        <f>E5+февраль!F5</f>
        <v>1418458.1300000001</v>
      </c>
      <c r="G5" s="12">
        <f t="shared" si="0"/>
        <v>-38054.679999999993</v>
      </c>
      <c r="H5" s="14">
        <f t="shared" si="0"/>
        <v>-211526.36999999988</v>
      </c>
      <c r="I5" s="4"/>
      <c r="J5" s="14">
        <f>I5+февраль!J5</f>
        <v>0</v>
      </c>
      <c r="K5" s="3"/>
      <c r="L5" s="12">
        <f>K5+февраль!L5</f>
        <v>0</v>
      </c>
      <c r="M5" s="14">
        <f t="shared" si="1"/>
        <v>0</v>
      </c>
    </row>
    <row r="6" spans="1:13" ht="12" customHeight="1">
      <c r="A6" s="1">
        <f t="shared" si="2"/>
        <v>4</v>
      </c>
      <c r="B6" s="41" t="str">
        <f>февраль!B6</f>
        <v>Газ</v>
      </c>
      <c r="C6" s="3">
        <f>7932.93+10266.17</f>
        <v>18199.099999999999</v>
      </c>
      <c r="D6" s="12">
        <f>C6+февраль!D6</f>
        <v>55037.659999999996</v>
      </c>
      <c r="E6" s="4">
        <f>7243.3+5003.31</f>
        <v>12246.61</v>
      </c>
      <c r="F6" s="12">
        <f>E6+февраль!F6</f>
        <v>38478.339999999997</v>
      </c>
      <c r="G6" s="12">
        <f t="shared" si="0"/>
        <v>-5952.489999999998</v>
      </c>
      <c r="H6" s="14">
        <f t="shared" si="0"/>
        <v>-16559.32</v>
      </c>
      <c r="I6" s="4"/>
      <c r="J6" s="14">
        <f>I6+февраль!J6</f>
        <v>0</v>
      </c>
      <c r="K6" s="3"/>
      <c r="L6" s="12">
        <f>K6+февраль!L6</f>
        <v>0</v>
      </c>
      <c r="M6" s="14">
        <f t="shared" si="1"/>
        <v>0</v>
      </c>
    </row>
    <row r="7" spans="1:13">
      <c r="A7" s="1">
        <f t="shared" si="2"/>
        <v>5</v>
      </c>
      <c r="B7" s="41" t="str">
        <f>февраль!B7</f>
        <v>Со.и ремонт АППЗ</v>
      </c>
      <c r="C7" s="3">
        <f>4583.51+466.03</f>
        <v>5049.54</v>
      </c>
      <c r="D7" s="12">
        <f>C7+февраль!D7</f>
        <v>15374.09</v>
      </c>
      <c r="E7" s="4">
        <f>4096.65+767.6</f>
        <v>4864.25</v>
      </c>
      <c r="F7" s="12">
        <f>E7+февраль!F7</f>
        <v>13574.28</v>
      </c>
      <c r="G7" s="12">
        <f t="shared" si="0"/>
        <v>-185.28999999999996</v>
      </c>
      <c r="H7" s="14">
        <f t="shared" si="0"/>
        <v>-1799.8099999999995</v>
      </c>
      <c r="I7" s="4"/>
      <c r="J7" s="14">
        <f>I7+февраль!J7</f>
        <v>0</v>
      </c>
      <c r="K7" s="3"/>
      <c r="L7" s="12">
        <f>K7+февраль!L7</f>
        <v>0</v>
      </c>
      <c r="M7" s="14">
        <f t="shared" si="1"/>
        <v>0</v>
      </c>
    </row>
    <row r="8" spans="1:13">
      <c r="A8" s="1">
        <f t="shared" si="2"/>
        <v>6</v>
      </c>
      <c r="B8" s="41" t="str">
        <f>февраль!B8</f>
        <v>Сод.и ремонт лифтов</v>
      </c>
      <c r="C8" s="3">
        <f>32434.65+3392.97</f>
        <v>35827.620000000003</v>
      </c>
      <c r="D8" s="12">
        <f>C8+февраль!D8</f>
        <v>108886.37</v>
      </c>
      <c r="E8" s="4">
        <f>28810.13+5253.78</f>
        <v>34063.910000000003</v>
      </c>
      <c r="F8" s="12">
        <f>E8+февраль!F8</f>
        <v>95194.86</v>
      </c>
      <c r="G8" s="12">
        <f t="shared" si="0"/>
        <v>-1763.7099999999991</v>
      </c>
      <c r="H8" s="14">
        <f t="shared" si="0"/>
        <v>-13691.509999999995</v>
      </c>
      <c r="I8" s="4"/>
      <c r="J8" s="14">
        <f>I8+февраль!J8</f>
        <v>0</v>
      </c>
      <c r="K8" s="3"/>
      <c r="L8" s="12">
        <f>K8+февраль!L8</f>
        <v>0</v>
      </c>
      <c r="M8" s="14">
        <f t="shared" si="1"/>
        <v>0</v>
      </c>
    </row>
    <row r="9" spans="1:13">
      <c r="A9" s="1">
        <f t="shared" si="2"/>
        <v>7</v>
      </c>
      <c r="B9" s="41" t="str">
        <f>февраль!B9</f>
        <v>Очистка мусоропроводов</v>
      </c>
      <c r="C9" s="3">
        <f>14435.2+1732.15</f>
        <v>16167.35</v>
      </c>
      <c r="D9" s="12">
        <f>C9+февраль!D9</f>
        <v>48893.07</v>
      </c>
      <c r="E9" s="4">
        <f>12831.91+2443.77</f>
        <v>15275.68</v>
      </c>
      <c r="F9" s="12">
        <f>E9+февраль!F9</f>
        <v>42706.75</v>
      </c>
      <c r="G9" s="12">
        <f t="shared" si="0"/>
        <v>-891.67000000000007</v>
      </c>
      <c r="H9" s="14">
        <f t="shared" si="0"/>
        <v>-6186.32</v>
      </c>
      <c r="I9" s="4"/>
      <c r="J9" s="14">
        <f>I9+февраль!J9</f>
        <v>0</v>
      </c>
      <c r="K9" s="3"/>
      <c r="L9" s="12">
        <f>K9+февраль!L9</f>
        <v>0</v>
      </c>
      <c r="M9" s="14">
        <f t="shared" si="1"/>
        <v>0</v>
      </c>
    </row>
    <row r="10" spans="1:13" ht="12.75" customHeight="1">
      <c r="A10" s="1">
        <f t="shared" si="2"/>
        <v>8</v>
      </c>
      <c r="B10" s="41" t="str">
        <f>февраль!B10</f>
        <v>Уборка и сан.очистка зем.уч.</v>
      </c>
      <c r="C10" s="3">
        <f>44667.33+9482.27</f>
        <v>54149.600000000006</v>
      </c>
      <c r="D10" s="12">
        <f>C10+февраль!D10</f>
        <v>162471.54</v>
      </c>
      <c r="E10" s="4">
        <f>41120.84+10312.56</f>
        <v>51433.399999999994</v>
      </c>
      <c r="F10" s="12">
        <f>E10+февраль!F10</f>
        <v>144109.87</v>
      </c>
      <c r="G10" s="12">
        <f t="shared" si="0"/>
        <v>-2716.2000000000116</v>
      </c>
      <c r="H10" s="14">
        <f t="shared" si="0"/>
        <v>-18361.670000000013</v>
      </c>
      <c r="I10" s="4"/>
      <c r="J10" s="14">
        <f>I10+февраль!J10</f>
        <v>0</v>
      </c>
      <c r="K10" s="3"/>
      <c r="L10" s="12">
        <f>K10+февраль!L10</f>
        <v>0</v>
      </c>
      <c r="M10" s="14">
        <f t="shared" si="1"/>
        <v>0</v>
      </c>
    </row>
    <row r="11" spans="1:13" ht="12.75" customHeight="1">
      <c r="A11" s="1">
        <f t="shared" si="2"/>
        <v>9</v>
      </c>
      <c r="B11" s="41" t="str">
        <f>февраль!B11</f>
        <v>Электроснабжение (инд.потр)</v>
      </c>
      <c r="C11" s="3">
        <f>257371.89+55228.36</f>
        <v>312600.25</v>
      </c>
      <c r="D11" s="12">
        <f>C11+февраль!D11</f>
        <v>940305.42999999993</v>
      </c>
      <c r="E11" s="4">
        <f>227688.47+70126.53</f>
        <v>297815</v>
      </c>
      <c r="F11" s="12">
        <f>E11+февраль!F11</f>
        <v>850759.34</v>
      </c>
      <c r="G11" s="12">
        <f t="shared" si="0"/>
        <v>-14785.25</v>
      </c>
      <c r="H11" s="14">
        <f t="shared" si="0"/>
        <v>-89546.089999999967</v>
      </c>
      <c r="I11" s="4"/>
      <c r="J11" s="14">
        <f>I11+февраль!J11</f>
        <v>0</v>
      </c>
      <c r="K11" s="3"/>
      <c r="L11" s="12">
        <f>K11+февраль!L11</f>
        <v>0</v>
      </c>
      <c r="M11" s="14">
        <f t="shared" si="1"/>
        <v>0</v>
      </c>
    </row>
    <row r="12" spans="1:13" ht="13.5" customHeight="1">
      <c r="A12" s="1">
        <f t="shared" si="2"/>
        <v>10</v>
      </c>
      <c r="B12" s="41" t="str">
        <f>февраль!B12</f>
        <v>Холодная вода</v>
      </c>
      <c r="C12" s="3">
        <f>196689.74+58195.49</f>
        <v>254885.22999999998</v>
      </c>
      <c r="D12" s="12">
        <f>C12+февраль!D12</f>
        <v>771925.48</v>
      </c>
      <c r="E12" s="4">
        <f>175981.32+54693.45</f>
        <v>230674.77000000002</v>
      </c>
      <c r="F12" s="12">
        <f>E12+февраль!F12</f>
        <v>671595.1</v>
      </c>
      <c r="G12" s="12">
        <f t="shared" si="0"/>
        <v>-24210.459999999963</v>
      </c>
      <c r="H12" s="14">
        <f t="shared" si="0"/>
        <v>-100330.38</v>
      </c>
      <c r="I12" s="4"/>
      <c r="J12" s="14">
        <f>I12+февраль!J12</f>
        <v>0</v>
      </c>
      <c r="K12" s="3"/>
      <c r="L12" s="12">
        <f>K12+февраль!L12</f>
        <v>0</v>
      </c>
      <c r="M12" s="14">
        <f t="shared" si="1"/>
        <v>0</v>
      </c>
    </row>
    <row r="13" spans="1:13">
      <c r="A13" s="1">
        <f t="shared" si="2"/>
        <v>11</v>
      </c>
      <c r="B13" s="41" t="str">
        <f>февраль!B13</f>
        <v>Канализирование х. воды</v>
      </c>
      <c r="C13" s="3">
        <v>-2210.14</v>
      </c>
      <c r="D13" s="12">
        <f>C13+февраль!D13</f>
        <v>-2210.14</v>
      </c>
      <c r="E13" s="4">
        <v>1227.03</v>
      </c>
      <c r="F13" s="12">
        <f>E13+февраль!F13</f>
        <v>1322.9099999999999</v>
      </c>
      <c r="G13" s="12">
        <f t="shared" si="0"/>
        <v>3437.17</v>
      </c>
      <c r="H13" s="14">
        <f t="shared" si="0"/>
        <v>3533.0499999999997</v>
      </c>
      <c r="I13" s="4"/>
      <c r="J13" s="14">
        <f>I13+февраль!J13</f>
        <v>0</v>
      </c>
      <c r="K13" s="3"/>
      <c r="L13" s="12">
        <f>K13+февраль!L13</f>
        <v>0</v>
      </c>
      <c r="M13" s="14">
        <f t="shared" si="1"/>
        <v>0</v>
      </c>
    </row>
    <row r="14" spans="1:13">
      <c r="A14" s="1">
        <f t="shared" si="2"/>
        <v>12</v>
      </c>
      <c r="B14" s="41" t="str">
        <f>февраль!B14</f>
        <v>Канализирование г. воды</v>
      </c>
      <c r="C14" s="3">
        <v>-1504.92</v>
      </c>
      <c r="D14" s="12">
        <f>C14+февраль!D14</f>
        <v>-1504.92</v>
      </c>
      <c r="E14" s="4">
        <v>836.39</v>
      </c>
      <c r="F14" s="12">
        <f>E14+февраль!F14</f>
        <v>901.75</v>
      </c>
      <c r="G14" s="12">
        <f t="shared" si="0"/>
        <v>2341.31</v>
      </c>
      <c r="H14" s="14">
        <f t="shared" si="0"/>
        <v>2406.67</v>
      </c>
      <c r="I14" s="4"/>
      <c r="J14" s="14">
        <f>I14+февраль!J14</f>
        <v>0</v>
      </c>
      <c r="K14" s="3"/>
      <c r="L14" s="12">
        <f>K14+февраль!L14</f>
        <v>0</v>
      </c>
      <c r="M14" s="14">
        <f t="shared" si="1"/>
        <v>0</v>
      </c>
    </row>
    <row r="15" spans="1:13">
      <c r="A15" s="1">
        <f t="shared" si="2"/>
        <v>13</v>
      </c>
      <c r="B15" s="41" t="str">
        <f>февраль!B15</f>
        <v>Тек.рем.общ.имущ.дома</v>
      </c>
      <c r="C15" s="3">
        <f>151621.66+31514.56</f>
        <v>183136.22</v>
      </c>
      <c r="D15" s="12">
        <f>C15+февраль!D15</f>
        <v>550166.03</v>
      </c>
      <c r="E15" s="4">
        <f>139792.39+35659.11</f>
        <v>175451.5</v>
      </c>
      <c r="F15" s="12">
        <f>E15+февраль!F15</f>
        <v>493435.07999999996</v>
      </c>
      <c r="G15" s="12">
        <f t="shared" si="0"/>
        <v>-7684.7200000000012</v>
      </c>
      <c r="H15" s="14">
        <f t="shared" si="0"/>
        <v>-56730.95000000007</v>
      </c>
      <c r="I15" s="4"/>
      <c r="J15" s="14">
        <f>I15+февраль!J15</f>
        <v>0</v>
      </c>
      <c r="K15" s="3"/>
      <c r="L15" s="12">
        <f>K15+февраль!L15</f>
        <v>0</v>
      </c>
      <c r="M15" s="14">
        <f t="shared" si="1"/>
        <v>0</v>
      </c>
    </row>
    <row r="16" spans="1:13">
      <c r="A16" s="1">
        <f t="shared" si="2"/>
        <v>14</v>
      </c>
      <c r="B16" s="41" t="str">
        <f>февраль!B16</f>
        <v>Сод.и тек.рем.в/дом.газосн.</v>
      </c>
      <c r="C16" s="3">
        <f>9199.47+2313.86</f>
        <v>11513.33</v>
      </c>
      <c r="D16" s="12">
        <f>C16+февраль!D16</f>
        <v>34336.74</v>
      </c>
      <c r="E16" s="4">
        <f>8663.08+2489.55</f>
        <v>11152.630000000001</v>
      </c>
      <c r="F16" s="12">
        <f>E16+февраль!F16</f>
        <v>31452.720000000001</v>
      </c>
      <c r="G16" s="12">
        <f t="shared" si="0"/>
        <v>-360.69999999999891</v>
      </c>
      <c r="H16" s="14">
        <f t="shared" si="0"/>
        <v>-2884.0199999999968</v>
      </c>
      <c r="I16" s="4"/>
      <c r="J16" s="14">
        <f>I16+февраль!J16</f>
        <v>0</v>
      </c>
      <c r="K16" s="3"/>
      <c r="L16" s="12">
        <f>K16+февраль!L16</f>
        <v>0</v>
      </c>
      <c r="M16" s="14">
        <f t="shared" si="1"/>
        <v>0</v>
      </c>
    </row>
    <row r="17" spans="1:13">
      <c r="A17" s="1">
        <f t="shared" si="2"/>
        <v>15</v>
      </c>
      <c r="B17" s="41" t="str">
        <f>февраль!B17</f>
        <v>Управление многокв.домом</v>
      </c>
      <c r="C17" s="3">
        <f>62349.43+13872.26</f>
        <v>76221.69</v>
      </c>
      <c r="D17" s="12">
        <f>C17+февраль!D17</f>
        <v>227893.23</v>
      </c>
      <c r="E17" s="4">
        <f>57575.28+13625.68</f>
        <v>71200.959999999992</v>
      </c>
      <c r="F17" s="12">
        <f>E17+февраль!F17</f>
        <v>199341.53999999998</v>
      </c>
      <c r="G17" s="12">
        <f t="shared" si="0"/>
        <v>-5020.7300000000105</v>
      </c>
      <c r="H17" s="14">
        <f t="shared" si="0"/>
        <v>-28551.690000000031</v>
      </c>
      <c r="I17" s="4"/>
      <c r="J17" s="14">
        <f>I17+февраль!J17</f>
        <v>0</v>
      </c>
      <c r="K17" s="3"/>
      <c r="L17" s="12">
        <f>K17+февраль!L17</f>
        <v>0</v>
      </c>
      <c r="M17" s="14">
        <f t="shared" si="1"/>
        <v>0</v>
      </c>
    </row>
    <row r="18" spans="1:13">
      <c r="A18" s="1">
        <f t="shared" si="2"/>
        <v>16</v>
      </c>
      <c r="B18" s="41" t="str">
        <f>февраль!B18</f>
        <v>Водоотведение (кв)</v>
      </c>
      <c r="C18" s="3">
        <f>317936.91+91339.02</f>
        <v>409275.93</v>
      </c>
      <c r="D18" s="12">
        <f>C18+февраль!D18</f>
        <v>1227273.3500000001</v>
      </c>
      <c r="E18" s="4">
        <f>284436.07+86523.84</f>
        <v>370959.91000000003</v>
      </c>
      <c r="F18" s="12">
        <f>E18+февраль!F18</f>
        <v>1070596.6400000001</v>
      </c>
      <c r="G18" s="12">
        <f t="shared" si="0"/>
        <v>-38316.01999999996</v>
      </c>
      <c r="H18" s="14">
        <f t="shared" si="0"/>
        <v>-156676.70999999996</v>
      </c>
      <c r="I18" s="4"/>
      <c r="J18" s="14">
        <f>I18+февраль!J18</f>
        <v>0</v>
      </c>
      <c r="K18" s="3"/>
      <c r="L18" s="12">
        <f>K18+февраль!L18</f>
        <v>0</v>
      </c>
      <c r="M18" s="14">
        <f t="shared" si="1"/>
        <v>0</v>
      </c>
    </row>
    <row r="19" spans="1:13" ht="15" customHeight="1">
      <c r="A19" s="1">
        <f t="shared" si="2"/>
        <v>17</v>
      </c>
      <c r="B19" s="41" t="str">
        <f>февраль!B19</f>
        <v>Электроснабж.на общед.нужды</v>
      </c>
      <c r="C19" s="3">
        <f>6743.01+1461.2</f>
        <v>8204.2100000000009</v>
      </c>
      <c r="D19" s="12">
        <f>C19+февраль!D19</f>
        <v>22552.240000000002</v>
      </c>
      <c r="E19" s="4">
        <f>5669.51+1221.18</f>
        <v>6890.6900000000005</v>
      </c>
      <c r="F19" s="12">
        <f>E19+февраль!F19</f>
        <v>18225.04</v>
      </c>
      <c r="G19" s="12">
        <f t="shared" si="0"/>
        <v>-1313.5200000000004</v>
      </c>
      <c r="H19" s="14">
        <f t="shared" si="0"/>
        <v>-4327.2000000000007</v>
      </c>
      <c r="I19" s="4"/>
      <c r="J19" s="14">
        <f>I19+февраль!J19</f>
        <v>0</v>
      </c>
      <c r="K19" s="3"/>
      <c r="L19" s="12">
        <f>K19+февраль!L19</f>
        <v>0</v>
      </c>
      <c r="M19" s="14">
        <f t="shared" si="1"/>
        <v>0</v>
      </c>
    </row>
    <row r="20" spans="1:13">
      <c r="A20" s="1">
        <f t="shared" si="2"/>
        <v>18</v>
      </c>
      <c r="B20" s="41" t="str">
        <f>февраль!B20</f>
        <v>Эксплуатация общед. ПУ</v>
      </c>
      <c r="C20" s="3">
        <f>14073.36+2306.15</f>
        <v>16379.51</v>
      </c>
      <c r="D20" s="12">
        <f>C20+февраль!D20</f>
        <v>49435.37</v>
      </c>
      <c r="E20" s="4">
        <f>12794.9+3222.33</f>
        <v>16017.23</v>
      </c>
      <c r="F20" s="12">
        <f>E20+февраль!F20</f>
        <v>44756.44</v>
      </c>
      <c r="G20" s="12">
        <f t="shared" si="0"/>
        <v>-362.28000000000065</v>
      </c>
      <c r="H20" s="14">
        <f t="shared" si="0"/>
        <v>-4678.93</v>
      </c>
      <c r="I20" s="4"/>
      <c r="J20" s="14">
        <f>I20+февраль!J20</f>
        <v>0</v>
      </c>
      <c r="K20" s="3"/>
      <c r="L20" s="12">
        <f>K20+февраль!L20</f>
        <v>0</v>
      </c>
      <c r="M20" s="14">
        <f t="shared" si="1"/>
        <v>0</v>
      </c>
    </row>
    <row r="21" spans="1:13">
      <c r="A21" s="1">
        <f t="shared" si="2"/>
        <v>19</v>
      </c>
      <c r="B21" s="41" t="str">
        <f>февраль!B21</f>
        <v>Хол.водоснабж.(о/д нужды)</v>
      </c>
      <c r="C21" s="3">
        <f>5413.77+939.03</f>
        <v>6352.8</v>
      </c>
      <c r="D21" s="12">
        <f>C21+февраль!D21</f>
        <v>18542.82</v>
      </c>
      <c r="E21" s="4">
        <f>5038.34+1600.47</f>
        <v>6638.81</v>
      </c>
      <c r="F21" s="12">
        <f>E21+февраль!F21</f>
        <v>18581.43</v>
      </c>
      <c r="G21" s="12">
        <f t="shared" si="0"/>
        <v>286.01000000000022</v>
      </c>
      <c r="H21" s="14">
        <f t="shared" si="0"/>
        <v>38.610000000000582</v>
      </c>
      <c r="I21" s="4"/>
      <c r="J21" s="14">
        <f>I21+февраль!J21</f>
        <v>0</v>
      </c>
      <c r="K21" s="3"/>
      <c r="L21" s="12">
        <f>K21+февраль!L21</f>
        <v>0</v>
      </c>
      <c r="M21" s="14">
        <f t="shared" si="1"/>
        <v>0</v>
      </c>
    </row>
    <row r="22" spans="1:13">
      <c r="A22" s="1">
        <f t="shared" si="2"/>
        <v>20</v>
      </c>
      <c r="B22" s="41" t="str">
        <f>февраль!B22</f>
        <v>Водоотведение(о/д нужды)</v>
      </c>
      <c r="C22" s="3">
        <v>-190.85</v>
      </c>
      <c r="D22" s="12">
        <f>C22+февраль!D22</f>
        <v>-190.85</v>
      </c>
      <c r="E22" s="3">
        <v>0</v>
      </c>
      <c r="F22" s="12">
        <f>E22+февраль!F22</f>
        <v>-7.0999999999999943</v>
      </c>
      <c r="G22" s="12">
        <f t="shared" si="0"/>
        <v>190.85</v>
      </c>
      <c r="H22" s="14">
        <f t="shared" si="0"/>
        <v>183.75</v>
      </c>
      <c r="I22" s="4"/>
      <c r="J22" s="14">
        <f>I22+февраль!J22</f>
        <v>0</v>
      </c>
      <c r="K22" s="3"/>
      <c r="L22" s="12">
        <f>K22+февраль!L22</f>
        <v>0</v>
      </c>
      <c r="M22" s="14">
        <f t="shared" si="1"/>
        <v>0</v>
      </c>
    </row>
    <row r="23" spans="1:13">
      <c r="A23" s="1">
        <f t="shared" si="2"/>
        <v>21</v>
      </c>
      <c r="B23" s="41" t="str">
        <f>февраль!B23</f>
        <v>Отопление (о/д нужды)</v>
      </c>
      <c r="C23" s="3">
        <v>-848.48</v>
      </c>
      <c r="D23" s="12">
        <f>C23+февраль!D23</f>
        <v>-848.48</v>
      </c>
      <c r="E23" s="3">
        <v>0</v>
      </c>
      <c r="F23" s="12">
        <f>E23+февраль!F23</f>
        <v>1005</v>
      </c>
      <c r="G23" s="12">
        <f t="shared" si="0"/>
        <v>848.48</v>
      </c>
      <c r="H23" s="14">
        <f t="shared" si="0"/>
        <v>1853.48</v>
      </c>
      <c r="I23" s="4"/>
      <c r="J23" s="14">
        <f>I23+февраль!J23</f>
        <v>0</v>
      </c>
      <c r="K23" s="3"/>
      <c r="L23" s="12">
        <f>K23+февраль!L23</f>
        <v>0</v>
      </c>
      <c r="M23" s="14">
        <f t="shared" si="1"/>
        <v>0</v>
      </c>
    </row>
    <row r="24" spans="1:13" ht="16.5" customHeight="1">
      <c r="A24" s="1">
        <f t="shared" si="2"/>
        <v>22</v>
      </c>
      <c r="B24" s="41" t="str">
        <f>февраль!B24</f>
        <v>Электроснабжение (общед.н)</v>
      </c>
      <c r="C24" s="3">
        <f>223107.66+42966.15+8434.02</f>
        <v>274507.83</v>
      </c>
      <c r="D24" s="12">
        <f>C24+февраль!D24</f>
        <v>797552.24</v>
      </c>
      <c r="E24" s="4">
        <f>209320.97+49769.28+6074.01</f>
        <v>265164.26</v>
      </c>
      <c r="F24" s="12">
        <f>E24+февраль!F24</f>
        <v>729644.91</v>
      </c>
      <c r="G24" s="12">
        <f t="shared" si="0"/>
        <v>-9343.570000000007</v>
      </c>
      <c r="H24" s="14">
        <f t="shared" si="0"/>
        <v>-67907.329999999958</v>
      </c>
      <c r="I24" s="4"/>
      <c r="J24" s="14">
        <f>I24+февраль!J24</f>
        <v>0</v>
      </c>
      <c r="K24" s="4"/>
      <c r="L24" s="12">
        <f>K24+февраль!L24</f>
        <v>0</v>
      </c>
      <c r="M24" s="14">
        <f t="shared" si="1"/>
        <v>0</v>
      </c>
    </row>
    <row r="25" spans="1:13">
      <c r="A25" s="1">
        <f t="shared" si="2"/>
        <v>23</v>
      </c>
      <c r="B25" s="41" t="str">
        <f>февраль!B25</f>
        <v>Гор.водоснабж.(о/д нужды)</v>
      </c>
      <c r="C25" s="3">
        <f>11192.84+2214</f>
        <v>13406.84</v>
      </c>
      <c r="D25" s="12">
        <f>C25+февраль!D25</f>
        <v>39355.240000000005</v>
      </c>
      <c r="E25" s="4">
        <f>10103.53+2608.67</f>
        <v>12712.2</v>
      </c>
      <c r="F25" s="12">
        <f>E25+февраль!F25</f>
        <v>34979.119999999995</v>
      </c>
      <c r="G25" s="12">
        <f t="shared" si="0"/>
        <v>-694.63999999999942</v>
      </c>
      <c r="H25" s="14">
        <f t="shared" si="0"/>
        <v>-4376.1200000000099</v>
      </c>
      <c r="I25" s="4"/>
      <c r="J25" s="14">
        <f>I25+февраль!J25</f>
        <v>0</v>
      </c>
      <c r="K25" s="3"/>
      <c r="L25" s="12">
        <f>K25+февраль!L25</f>
        <v>0</v>
      </c>
      <c r="M25" s="14">
        <f t="shared" si="1"/>
        <v>0</v>
      </c>
    </row>
    <row r="26" spans="1:13">
      <c r="A26" s="1">
        <f t="shared" si="2"/>
        <v>24</v>
      </c>
      <c r="B26" s="41" t="str">
        <f>февраль!B26</f>
        <v>Капитальный ремонт</v>
      </c>
      <c r="C26" s="3">
        <v>0</v>
      </c>
      <c r="D26" s="12">
        <f>C26+февраль!D26</f>
        <v>0</v>
      </c>
      <c r="E26" s="3">
        <v>0</v>
      </c>
      <c r="F26" s="12">
        <f>E26+февраль!F26</f>
        <v>0</v>
      </c>
      <c r="G26" s="12">
        <f t="shared" si="0"/>
        <v>0</v>
      </c>
      <c r="H26" s="14">
        <f t="shared" si="0"/>
        <v>0</v>
      </c>
      <c r="I26" s="4"/>
      <c r="J26" s="14">
        <f>I26+февраль!J26</f>
        <v>0</v>
      </c>
      <c r="K26" s="3"/>
      <c r="L26" s="12">
        <f>K26+февраль!L26</f>
        <v>0</v>
      </c>
      <c r="M26" s="14">
        <f t="shared" si="1"/>
        <v>0</v>
      </c>
    </row>
    <row r="27" spans="1:13">
      <c r="A27" s="1">
        <f t="shared" si="2"/>
        <v>25</v>
      </c>
      <c r="B27" s="41" t="str">
        <f>февраль!B27</f>
        <v>Уборка лестн. Кл</v>
      </c>
      <c r="C27" s="3">
        <v>0</v>
      </c>
      <c r="D27" s="12">
        <f>C27+февраль!D27</f>
        <v>4670.8500000000004</v>
      </c>
      <c r="E27" s="3">
        <v>0</v>
      </c>
      <c r="F27" s="12">
        <f>E27+февраль!F27</f>
        <v>2749.94</v>
      </c>
      <c r="G27" s="12">
        <f t="shared" si="0"/>
        <v>0</v>
      </c>
      <c r="H27" s="14">
        <f t="shared" si="0"/>
        <v>-1920.9100000000003</v>
      </c>
      <c r="I27" s="4"/>
      <c r="J27" s="14">
        <f>I27+февраль!J27</f>
        <v>0</v>
      </c>
      <c r="K27" s="3"/>
      <c r="L27" s="12">
        <f>K27+февраль!L27</f>
        <v>0</v>
      </c>
      <c r="M27" s="14">
        <f t="shared" si="1"/>
        <v>0</v>
      </c>
    </row>
    <row r="28" spans="1:13" s="6" customFormat="1">
      <c r="A28" s="16"/>
      <c r="B28" s="17" t="s">
        <v>12</v>
      </c>
      <c r="C28" s="13">
        <f t="shared" ref="C28:L28" si="3">SUM(C3:C27)</f>
        <v>4027022.89</v>
      </c>
      <c r="D28" s="13">
        <f t="shared" si="3"/>
        <v>11990711.609999999</v>
      </c>
      <c r="E28" s="15">
        <f t="shared" si="3"/>
        <v>3694695.34</v>
      </c>
      <c r="F28" s="13">
        <f t="shared" si="3"/>
        <v>10109816.859999998</v>
      </c>
      <c r="G28" s="13">
        <f t="shared" si="3"/>
        <v>-332327.55000000016</v>
      </c>
      <c r="H28" s="15">
        <f t="shared" si="3"/>
        <v>-1880894.7499999993</v>
      </c>
      <c r="I28" s="15">
        <f t="shared" si="3"/>
        <v>0</v>
      </c>
      <c r="J28" s="15">
        <f t="shared" si="3"/>
        <v>0</v>
      </c>
      <c r="K28" s="13">
        <f t="shared" si="3"/>
        <v>0</v>
      </c>
      <c r="L28" s="13">
        <f t="shared" si="3"/>
        <v>0</v>
      </c>
      <c r="M28" s="15">
        <f>SUM(M3:M27)</f>
        <v>0</v>
      </c>
    </row>
    <row r="29" spans="1:13" ht="5.25" customHeight="1"/>
    <row r="30" spans="1:13" ht="12.75" customHeight="1">
      <c r="B30" s="57" t="s">
        <v>42</v>
      </c>
      <c r="C30" s="58">
        <f>C12+C13+C14+C18+C21+C22</f>
        <v>666608.05000000005</v>
      </c>
      <c r="D30" s="58">
        <f t="shared" ref="D30:L30" si="4">D12+D13+D14+D18+D21+D22</f>
        <v>2013835.74</v>
      </c>
      <c r="E30" s="58">
        <f t="shared" si="4"/>
        <v>610336.91000000015</v>
      </c>
      <c r="F30" s="58">
        <f t="shared" si="4"/>
        <v>1762990.73</v>
      </c>
      <c r="G30" s="58">
        <f t="shared" si="4"/>
        <v>-56271.139999999927</v>
      </c>
      <c r="H30" s="58">
        <f t="shared" si="4"/>
        <v>-250845.00999999995</v>
      </c>
      <c r="I30" s="58">
        <f t="shared" si="4"/>
        <v>0</v>
      </c>
      <c r="J30" s="58">
        <f t="shared" si="4"/>
        <v>0</v>
      </c>
      <c r="K30" s="58">
        <f t="shared" si="4"/>
        <v>0</v>
      </c>
      <c r="L30" s="58">
        <f t="shared" si="4"/>
        <v>0</v>
      </c>
    </row>
    <row r="31" spans="1:13" ht="12.75" customHeight="1">
      <c r="B31" s="57" t="s">
        <v>43</v>
      </c>
      <c r="C31" s="58">
        <f t="shared" ref="C31:L31" si="5">C11+C24+C19</f>
        <v>595312.29</v>
      </c>
      <c r="D31" s="58">
        <f t="shared" si="5"/>
        <v>1760409.91</v>
      </c>
      <c r="E31" s="58">
        <f t="shared" si="5"/>
        <v>569869.94999999995</v>
      </c>
      <c r="F31" s="58">
        <f t="shared" si="5"/>
        <v>1598629.29</v>
      </c>
      <c r="G31" s="58">
        <f t="shared" si="5"/>
        <v>-25442.340000000007</v>
      </c>
      <c r="H31" s="58">
        <f t="shared" si="5"/>
        <v>-161780.61999999994</v>
      </c>
      <c r="I31" s="58">
        <f t="shared" si="5"/>
        <v>0</v>
      </c>
      <c r="J31" s="58">
        <f t="shared" si="5"/>
        <v>0</v>
      </c>
      <c r="K31" s="58">
        <f t="shared" si="5"/>
        <v>0</v>
      </c>
      <c r="L31" s="58">
        <f t="shared" si="5"/>
        <v>0</v>
      </c>
    </row>
    <row r="32" spans="1:13" ht="12" customHeight="1">
      <c r="B32" s="57" t="s">
        <v>44</v>
      </c>
      <c r="C32" s="58">
        <f>C4+C5+C23+C25</f>
        <v>1996987.34</v>
      </c>
      <c r="D32" s="58">
        <f t="shared" ref="D32:L32" si="6">D4+D5+D23+D25</f>
        <v>5905955.2999999998</v>
      </c>
      <c r="E32" s="58">
        <f t="shared" si="6"/>
        <v>1788800.2</v>
      </c>
      <c r="F32" s="58">
        <f t="shared" si="6"/>
        <v>4703121.78</v>
      </c>
      <c r="G32" s="58">
        <f t="shared" si="6"/>
        <v>-208187.14</v>
      </c>
      <c r="H32" s="58">
        <f t="shared" si="6"/>
        <v>-1202833.5199999998</v>
      </c>
      <c r="I32" s="58">
        <f t="shared" si="6"/>
        <v>0</v>
      </c>
      <c r="J32" s="58">
        <f t="shared" si="6"/>
        <v>0</v>
      </c>
      <c r="K32" s="58">
        <f t="shared" si="6"/>
        <v>0</v>
      </c>
      <c r="L32" s="58">
        <f t="shared" si="6"/>
        <v>0</v>
      </c>
    </row>
    <row r="33" spans="2:12">
      <c r="B33" s="59" t="s">
        <v>39</v>
      </c>
      <c r="C33" s="58">
        <f t="shared" ref="C33:L33" si="7">C3+C7+C8+C9+C10+C15+C16+C17+C20</f>
        <v>749916.10999999987</v>
      </c>
      <c r="D33" s="58">
        <f t="shared" si="7"/>
        <v>2250802.1500000004</v>
      </c>
      <c r="E33" s="58">
        <f t="shared" si="7"/>
        <v>713441.66999999993</v>
      </c>
      <c r="F33" s="58">
        <f t="shared" si="7"/>
        <v>2003846.78</v>
      </c>
      <c r="G33" s="58">
        <f t="shared" si="7"/>
        <v>-36474.440000000031</v>
      </c>
      <c r="H33" s="58">
        <f t="shared" si="7"/>
        <v>-246955.37000000005</v>
      </c>
      <c r="I33" s="58">
        <f t="shared" si="7"/>
        <v>0</v>
      </c>
      <c r="J33" s="58">
        <f t="shared" si="7"/>
        <v>0</v>
      </c>
      <c r="K33" s="58">
        <f t="shared" si="7"/>
        <v>0</v>
      </c>
      <c r="L33" s="58">
        <f t="shared" si="7"/>
        <v>0</v>
      </c>
    </row>
    <row r="36" spans="2:12">
      <c r="C36">
        <f>3272390.85+754632.04</f>
        <v>4027022.89</v>
      </c>
      <c r="E36">
        <f>2934961.1+759734.24</f>
        <v>3694695.34</v>
      </c>
    </row>
    <row r="38" spans="2:12">
      <c r="E38" s="54"/>
    </row>
    <row r="39" spans="2:12">
      <c r="G39" s="6"/>
      <c r="H39" s="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M42"/>
  <sheetViews>
    <sheetView topLeftCell="A15" workbookViewId="0">
      <selection activeCell="F38" sqref="F38"/>
    </sheetView>
  </sheetViews>
  <sheetFormatPr defaultRowHeight="12.75"/>
  <cols>
    <col min="1" max="1" width="2.85546875" customWidth="1"/>
    <col min="2" max="2" width="27.140625" customWidth="1"/>
    <col min="3" max="3" width="14" customWidth="1"/>
    <col min="4" max="4" width="12.5703125" customWidth="1"/>
    <col min="5" max="5" width="15" customWidth="1"/>
    <col min="6" max="6" width="14.85546875" customWidth="1"/>
    <col min="7" max="7" width="12.85546875" customWidth="1"/>
    <col min="8" max="8" width="12.140625" customWidth="1"/>
    <col min="9" max="9" width="10.5703125" customWidth="1"/>
    <col min="10" max="10" width="11.5703125" customWidth="1"/>
    <col min="11" max="11" width="12" customWidth="1"/>
    <col min="12" max="12" width="12.140625" customWidth="1"/>
    <col min="13" max="13" width="12.42578125" customWidth="1"/>
  </cols>
  <sheetData>
    <row r="1" spans="1:13" ht="9" hidden="1" customHeight="1"/>
    <row r="2" spans="1:13" hidden="1">
      <c r="B2" s="6"/>
      <c r="C2" s="11"/>
    </row>
    <row r="3" spans="1:13">
      <c r="B3" s="6" t="s">
        <v>51</v>
      </c>
    </row>
    <row r="4" spans="1:13" s="40" customFormat="1" ht="38.25">
      <c r="A4" s="43" t="s">
        <v>0</v>
      </c>
      <c r="B4" s="44" t="s">
        <v>1</v>
      </c>
      <c r="C4" s="45" t="s">
        <v>2</v>
      </c>
      <c r="D4" s="46" t="s">
        <v>3</v>
      </c>
      <c r="E4" s="44" t="s">
        <v>4</v>
      </c>
      <c r="F4" s="46" t="s">
        <v>5</v>
      </c>
      <c r="G4" s="46" t="s">
        <v>6</v>
      </c>
      <c r="H4" s="46" t="s">
        <v>7</v>
      </c>
      <c r="I4" s="44" t="s">
        <v>8</v>
      </c>
      <c r="J4" s="46" t="s">
        <v>9</v>
      </c>
      <c r="K4" s="44" t="s">
        <v>10</v>
      </c>
      <c r="L4" s="46" t="s">
        <v>11</v>
      </c>
      <c r="M4" s="39" t="s">
        <v>17</v>
      </c>
    </row>
    <row r="5" spans="1:13">
      <c r="A5" s="1">
        <v>1</v>
      </c>
      <c r="B5" s="41" t="str">
        <f>март!B3</f>
        <v>Содержание общ.имущ.дома</v>
      </c>
      <c r="C5" s="3">
        <f>62358.32+291440.81</f>
        <v>353799.13</v>
      </c>
      <c r="D5" s="12">
        <f>C5+март!D3</f>
        <v>1407144.8399999999</v>
      </c>
      <c r="E5" s="4">
        <f>54621.15+282979.69</f>
        <v>337600.84</v>
      </c>
      <c r="F5" s="12">
        <f>E5+март!F3</f>
        <v>1276876.08</v>
      </c>
      <c r="G5" s="12">
        <f>E5-C5</f>
        <v>-16198.289999999979</v>
      </c>
      <c r="H5" s="14">
        <f>F5-D5</f>
        <v>-130268.75999999978</v>
      </c>
      <c r="I5" s="4"/>
      <c r="J5" s="14">
        <f>I5+март!J3</f>
        <v>0</v>
      </c>
      <c r="K5" s="3"/>
      <c r="L5" s="12">
        <f>K5+март!L3</f>
        <v>0</v>
      </c>
      <c r="M5" s="14">
        <f>J5-L5</f>
        <v>0</v>
      </c>
    </row>
    <row r="6" spans="1:13">
      <c r="A6" s="1">
        <f>A5+1</f>
        <v>2</v>
      </c>
      <c r="B6" s="41" t="str">
        <f>март!B4</f>
        <v>Отопление</v>
      </c>
      <c r="C6" s="3">
        <f>183780.6+866516.96</f>
        <v>1050297.56</v>
      </c>
      <c r="D6" s="12">
        <f>C6+март!D4</f>
        <v>5287761.5999999996</v>
      </c>
      <c r="E6" s="4">
        <f>208418.56+1091699.84</f>
        <v>1300118.4000000001</v>
      </c>
      <c r="F6" s="12">
        <f>E6+март!F4</f>
        <v>4548797.9300000006</v>
      </c>
      <c r="G6" s="12">
        <f t="shared" ref="G6:H29" si="0">E6-C6</f>
        <v>249820.84000000008</v>
      </c>
      <c r="H6" s="14">
        <f t="shared" si="0"/>
        <v>-738963.66999999899</v>
      </c>
      <c r="I6" s="4"/>
      <c r="J6" s="14">
        <f>I6+март!J4</f>
        <v>0</v>
      </c>
      <c r="K6" s="3"/>
      <c r="L6" s="12">
        <f>K6+март!L4</f>
        <v>0</v>
      </c>
      <c r="M6" s="14">
        <f t="shared" ref="M6:M29" si="1">J6-L6</f>
        <v>0</v>
      </c>
    </row>
    <row r="7" spans="1:13">
      <c r="A7" s="1">
        <f t="shared" ref="A7:A29" si="2">A6+1</f>
        <v>3</v>
      </c>
      <c r="B7" s="41" t="str">
        <f>март!B5</f>
        <v>Горячее водоснабжение</v>
      </c>
      <c r="C7" s="3">
        <f>109767.44+447089.91</f>
        <v>556857.35</v>
      </c>
      <c r="D7" s="12">
        <f>C7+март!D5</f>
        <v>2186841.85</v>
      </c>
      <c r="E7" s="4">
        <f>82735.99+388832.38</f>
        <v>471568.37</v>
      </c>
      <c r="F7" s="12">
        <f>E7+март!F5</f>
        <v>1890026.5</v>
      </c>
      <c r="G7" s="12">
        <f t="shared" si="0"/>
        <v>-85288.979999999981</v>
      </c>
      <c r="H7" s="14">
        <f t="shared" si="0"/>
        <v>-296815.35000000009</v>
      </c>
      <c r="I7" s="4"/>
      <c r="J7" s="14">
        <f>I7+март!J5</f>
        <v>0</v>
      </c>
      <c r="K7" s="3"/>
      <c r="L7" s="12">
        <f>K7+март!L5</f>
        <v>0</v>
      </c>
      <c r="M7" s="14">
        <f t="shared" si="1"/>
        <v>0</v>
      </c>
    </row>
    <row r="8" spans="1:13">
      <c r="A8" s="1">
        <f t="shared" si="2"/>
        <v>4</v>
      </c>
      <c r="B8" s="41" t="str">
        <f>март!B6</f>
        <v>Газ</v>
      </c>
      <c r="C8" s="3">
        <f>10266.17+3029.67</f>
        <v>13295.84</v>
      </c>
      <c r="D8" s="12">
        <f>C8+март!D6</f>
        <v>68333.5</v>
      </c>
      <c r="E8" s="4">
        <f>4006.08+5116.07</f>
        <v>9122.15</v>
      </c>
      <c r="F8" s="12">
        <f>E8+март!F6</f>
        <v>47600.49</v>
      </c>
      <c r="G8" s="12">
        <f t="shared" si="0"/>
        <v>-4173.6900000000005</v>
      </c>
      <c r="H8" s="14">
        <f t="shared" si="0"/>
        <v>-20733.010000000002</v>
      </c>
      <c r="I8" s="4"/>
      <c r="J8" s="14">
        <f>I8+март!J6</f>
        <v>0</v>
      </c>
      <c r="K8" s="3"/>
      <c r="L8" s="12">
        <f>K8+март!L6</f>
        <v>0</v>
      </c>
      <c r="M8" s="14">
        <f t="shared" si="1"/>
        <v>0</v>
      </c>
    </row>
    <row r="9" spans="1:13">
      <c r="A9" s="1">
        <f t="shared" si="2"/>
        <v>5</v>
      </c>
      <c r="B9" s="41" t="str">
        <f>март!B7</f>
        <v>Со.и ремонт АППЗ</v>
      </c>
      <c r="C9" s="3">
        <f>834.84+4601.33</f>
        <v>5436.17</v>
      </c>
      <c r="D9" s="12">
        <f>C9+март!D7</f>
        <v>20810.260000000002</v>
      </c>
      <c r="E9" s="4">
        <f>905.02+4526.85</f>
        <v>5431.8700000000008</v>
      </c>
      <c r="F9" s="12">
        <f>E9+март!F7</f>
        <v>19006.150000000001</v>
      </c>
      <c r="G9" s="12">
        <f t="shared" si="0"/>
        <v>-4.2999999999992724</v>
      </c>
      <c r="H9" s="14">
        <f t="shared" si="0"/>
        <v>-1804.1100000000006</v>
      </c>
      <c r="I9" s="4"/>
      <c r="J9" s="14">
        <f>I9+март!J7</f>
        <v>0</v>
      </c>
      <c r="K9" s="3"/>
      <c r="L9" s="12">
        <f>K9+март!L7</f>
        <v>0</v>
      </c>
      <c r="M9" s="14">
        <f t="shared" si="1"/>
        <v>0</v>
      </c>
    </row>
    <row r="10" spans="1:13">
      <c r="A10" s="1">
        <f t="shared" si="2"/>
        <v>6</v>
      </c>
      <c r="B10" s="41" t="str">
        <f>март!B8</f>
        <v>Сод.и ремонт лифтов</v>
      </c>
      <c r="C10" s="3">
        <f>4982.88+26879.01</f>
        <v>31861.89</v>
      </c>
      <c r="D10" s="12">
        <f>C10+март!D8</f>
        <v>140748.26</v>
      </c>
      <c r="E10" s="4">
        <f>6090.34+28842.71</f>
        <v>34933.050000000003</v>
      </c>
      <c r="F10" s="12">
        <f>E10+март!F8</f>
        <v>130127.91</v>
      </c>
      <c r="G10" s="12">
        <f t="shared" si="0"/>
        <v>3071.1600000000035</v>
      </c>
      <c r="H10" s="14">
        <f t="shared" si="0"/>
        <v>-10620.350000000006</v>
      </c>
      <c r="I10" s="4"/>
      <c r="J10" s="14">
        <f>I10+март!J8</f>
        <v>0</v>
      </c>
      <c r="K10" s="3"/>
      <c r="L10" s="12">
        <f>K10+март!L8</f>
        <v>0</v>
      </c>
      <c r="M10" s="14">
        <f t="shared" si="1"/>
        <v>0</v>
      </c>
    </row>
    <row r="11" spans="1:13">
      <c r="A11" s="1">
        <f t="shared" si="2"/>
        <v>7</v>
      </c>
      <c r="B11" s="41" t="str">
        <f>март!B9</f>
        <v>Очистка мусоропроводов</v>
      </c>
      <c r="C11" s="3">
        <f>2694.2+14492.75</f>
        <v>17186.95</v>
      </c>
      <c r="D11" s="12">
        <f>C11+март!D9</f>
        <v>66080.02</v>
      </c>
      <c r="E11" s="4">
        <f>2886.67+14105.59</f>
        <v>16992.260000000002</v>
      </c>
      <c r="F11" s="12">
        <f>E11+март!F9</f>
        <v>59699.01</v>
      </c>
      <c r="G11" s="12">
        <f t="shared" si="0"/>
        <v>-194.68999999999869</v>
      </c>
      <c r="H11" s="14">
        <f t="shared" si="0"/>
        <v>-6381.010000000002</v>
      </c>
      <c r="I11" s="4"/>
      <c r="J11" s="14">
        <f>I11+март!J9</f>
        <v>0</v>
      </c>
      <c r="K11" s="3"/>
      <c r="L11" s="12">
        <f>K11+март!L9</f>
        <v>0</v>
      </c>
      <c r="M11" s="14">
        <f t="shared" si="1"/>
        <v>0</v>
      </c>
    </row>
    <row r="12" spans="1:13">
      <c r="A12" s="1">
        <f t="shared" si="2"/>
        <v>8</v>
      </c>
      <c r="B12" s="41" t="str">
        <f>март!B10</f>
        <v>Уборка и сан.очистка зем.уч.</v>
      </c>
      <c r="C12" s="3">
        <f>9336.01+44833.64</f>
        <v>54169.65</v>
      </c>
      <c r="D12" s="12">
        <f>C12+март!D10</f>
        <v>216641.19</v>
      </c>
      <c r="E12" s="4">
        <f>8338.06+43343.15</f>
        <v>51681.21</v>
      </c>
      <c r="F12" s="12">
        <f>E12+март!F10</f>
        <v>195791.08</v>
      </c>
      <c r="G12" s="12">
        <f t="shared" si="0"/>
        <v>-2488.4400000000023</v>
      </c>
      <c r="H12" s="14">
        <f t="shared" si="0"/>
        <v>-20850.110000000015</v>
      </c>
      <c r="I12" s="4"/>
      <c r="J12" s="14">
        <f>I12+март!J10</f>
        <v>0</v>
      </c>
      <c r="K12" s="3"/>
      <c r="L12" s="12">
        <f>K12+март!L10</f>
        <v>0</v>
      </c>
      <c r="M12" s="14">
        <f t="shared" si="1"/>
        <v>0</v>
      </c>
    </row>
    <row r="13" spans="1:13">
      <c r="A13" s="1">
        <f t="shared" si="2"/>
        <v>9</v>
      </c>
      <c r="B13" s="41" t="str">
        <f>март!B11</f>
        <v>Электроснабжение (инд.потр)</v>
      </c>
      <c r="C13" s="3">
        <f>56746.9+256996.16</f>
        <v>313743.06</v>
      </c>
      <c r="D13" s="12">
        <f>C13+март!D11</f>
        <v>1254048.49</v>
      </c>
      <c r="E13" s="4">
        <f>46976.28+243286.39</f>
        <v>290262.67000000004</v>
      </c>
      <c r="F13" s="12">
        <f>E13+март!F11</f>
        <v>1141022.01</v>
      </c>
      <c r="G13" s="12">
        <f t="shared" si="0"/>
        <v>-23480.389999999956</v>
      </c>
      <c r="H13" s="14">
        <f t="shared" si="0"/>
        <v>-113026.47999999998</v>
      </c>
      <c r="I13" s="4"/>
      <c r="J13" s="14">
        <f>I13+март!J11</f>
        <v>0</v>
      </c>
      <c r="K13" s="3"/>
      <c r="L13" s="12">
        <f>K13+март!L11</f>
        <v>0</v>
      </c>
      <c r="M13" s="14">
        <f t="shared" si="1"/>
        <v>0</v>
      </c>
    </row>
    <row r="14" spans="1:13">
      <c r="A14" s="1">
        <f t="shared" si="2"/>
        <v>10</v>
      </c>
      <c r="B14" s="41" t="str">
        <f>март!B12</f>
        <v>Холодная вода</v>
      </c>
      <c r="C14" s="3">
        <f>59015.01+200982.34</f>
        <v>259997.35</v>
      </c>
      <c r="D14" s="12">
        <f>C14+март!D12</f>
        <v>1031922.83</v>
      </c>
      <c r="E14" s="4">
        <f>39848.23+174150.02</f>
        <v>213998.25</v>
      </c>
      <c r="F14" s="12">
        <f>E14+март!F12</f>
        <v>885593.35</v>
      </c>
      <c r="G14" s="12">
        <f t="shared" si="0"/>
        <v>-45999.100000000006</v>
      </c>
      <c r="H14" s="14">
        <f t="shared" si="0"/>
        <v>-146329.47999999998</v>
      </c>
      <c r="I14" s="4"/>
      <c r="J14" s="14">
        <f>I14+март!J12</f>
        <v>0</v>
      </c>
      <c r="K14" s="3"/>
      <c r="L14" s="12">
        <f>K14+март!L12</f>
        <v>0</v>
      </c>
      <c r="M14" s="14">
        <f t="shared" si="1"/>
        <v>0</v>
      </c>
    </row>
    <row r="15" spans="1:13">
      <c r="A15" s="1">
        <f t="shared" si="2"/>
        <v>11</v>
      </c>
      <c r="B15" s="41" t="str">
        <f>март!B13</f>
        <v>Канализирование х. воды</v>
      </c>
      <c r="C15" s="3">
        <v>0</v>
      </c>
      <c r="D15" s="12">
        <f>C15+март!D13</f>
        <v>-2210.14</v>
      </c>
      <c r="E15" s="60">
        <v>352.18</v>
      </c>
      <c r="F15" s="12">
        <f>E15+март!F13</f>
        <v>1675.09</v>
      </c>
      <c r="G15" s="12">
        <f t="shared" si="0"/>
        <v>352.18</v>
      </c>
      <c r="H15" s="14">
        <f t="shared" si="0"/>
        <v>3885.2299999999996</v>
      </c>
      <c r="I15" s="4"/>
      <c r="J15" s="14">
        <f>I15+март!J13</f>
        <v>0</v>
      </c>
      <c r="K15" s="3"/>
      <c r="L15" s="12">
        <f>K15+март!L13</f>
        <v>0</v>
      </c>
      <c r="M15" s="14">
        <f t="shared" si="1"/>
        <v>0</v>
      </c>
    </row>
    <row r="16" spans="1:13">
      <c r="A16" s="1">
        <f t="shared" si="2"/>
        <v>12</v>
      </c>
      <c r="B16" s="41" t="str">
        <f>март!B14</f>
        <v>Канализирование г. воды</v>
      </c>
      <c r="C16" s="3">
        <v>0</v>
      </c>
      <c r="D16" s="12">
        <f>C16+март!D14</f>
        <v>-1504.92</v>
      </c>
      <c r="E16" s="4">
        <v>240.03</v>
      </c>
      <c r="F16" s="12">
        <f>E16+март!F14</f>
        <v>1141.78</v>
      </c>
      <c r="G16" s="12">
        <f t="shared" si="0"/>
        <v>240.03</v>
      </c>
      <c r="H16" s="14">
        <f t="shared" si="0"/>
        <v>2646.7</v>
      </c>
      <c r="I16" s="4"/>
      <c r="J16" s="14">
        <f>I16+март!J14</f>
        <v>0</v>
      </c>
      <c r="K16" s="3"/>
      <c r="L16" s="12">
        <f>K16+март!L14</f>
        <v>0</v>
      </c>
      <c r="M16" s="14">
        <f t="shared" si="1"/>
        <v>0</v>
      </c>
    </row>
    <row r="17" spans="1:13">
      <c r="A17" s="1">
        <f t="shared" si="2"/>
        <v>13</v>
      </c>
      <c r="B17" s="41" t="str">
        <f>март!B15</f>
        <v>Тек.рем.общ.имущ.дома</v>
      </c>
      <c r="C17" s="3">
        <f>31433.15+152217.26</f>
        <v>183650.41</v>
      </c>
      <c r="D17" s="12">
        <f>C17+март!D15</f>
        <v>733816.44000000006</v>
      </c>
      <c r="E17" s="4">
        <f>28695.92+149856.05</f>
        <v>178551.96999999997</v>
      </c>
      <c r="F17" s="12">
        <f>E17+март!F15</f>
        <v>671987.04999999993</v>
      </c>
      <c r="G17" s="12">
        <f t="shared" si="0"/>
        <v>-5098.4400000000314</v>
      </c>
      <c r="H17" s="14">
        <f t="shared" si="0"/>
        <v>-61829.39000000013</v>
      </c>
      <c r="I17" s="4"/>
      <c r="J17" s="14">
        <f>I17+март!J15</f>
        <v>0</v>
      </c>
      <c r="K17" s="3"/>
      <c r="L17" s="12">
        <f>K17+март!L15</f>
        <v>0</v>
      </c>
      <c r="M17" s="14">
        <f t="shared" si="1"/>
        <v>0</v>
      </c>
    </row>
    <row r="18" spans="1:13">
      <c r="A18" s="1">
        <f t="shared" si="2"/>
        <v>14</v>
      </c>
      <c r="B18" s="41" t="str">
        <f>март!B16</f>
        <v>Сод.и тек.рем.в/дом.газосн.</v>
      </c>
      <c r="C18" s="3">
        <f>1788.99+9236.9</f>
        <v>11025.89</v>
      </c>
      <c r="D18" s="12">
        <f>C18+март!D16</f>
        <v>45362.63</v>
      </c>
      <c r="E18" s="4">
        <f>1559.79+9057.66</f>
        <v>10617.45</v>
      </c>
      <c r="F18" s="12">
        <f>E18+март!F16</f>
        <v>42070.17</v>
      </c>
      <c r="G18" s="12">
        <f t="shared" si="0"/>
        <v>-408.43999999999869</v>
      </c>
      <c r="H18" s="14">
        <f t="shared" si="0"/>
        <v>-3292.4599999999991</v>
      </c>
      <c r="I18" s="4"/>
      <c r="J18" s="14">
        <f>I18+март!J16</f>
        <v>0</v>
      </c>
      <c r="K18" s="3"/>
      <c r="L18" s="12">
        <f>K18+март!L16</f>
        <v>0</v>
      </c>
      <c r="M18" s="14">
        <f t="shared" si="1"/>
        <v>0</v>
      </c>
    </row>
    <row r="19" spans="1:13">
      <c r="A19" s="1">
        <f t="shared" si="2"/>
        <v>15</v>
      </c>
      <c r="B19" s="41" t="str">
        <f>март!B17</f>
        <v>Управление многокв.домом</v>
      </c>
      <c r="C19" s="3">
        <f>12995.89+62690.95</f>
        <v>75686.84</v>
      </c>
      <c r="D19" s="12">
        <f>C19+март!D17</f>
        <v>303580.07</v>
      </c>
      <c r="E19" s="4">
        <f>11322.09+59833.05</f>
        <v>71155.14</v>
      </c>
      <c r="F19" s="12">
        <f>E19+март!F17</f>
        <v>270496.68</v>
      </c>
      <c r="G19" s="12">
        <f t="shared" si="0"/>
        <v>-4531.6999999999971</v>
      </c>
      <c r="H19" s="14">
        <f t="shared" si="0"/>
        <v>-33083.390000000014</v>
      </c>
      <c r="I19" s="4"/>
      <c r="J19" s="14">
        <f>I19+март!J17</f>
        <v>0</v>
      </c>
      <c r="K19" s="3"/>
      <c r="L19" s="12">
        <f>K19+март!L17</f>
        <v>0</v>
      </c>
      <c r="M19" s="14">
        <f t="shared" si="1"/>
        <v>0</v>
      </c>
    </row>
    <row r="20" spans="1:13">
      <c r="A20" s="1">
        <f t="shared" si="2"/>
        <v>16</v>
      </c>
      <c r="B20" s="41" t="str">
        <f>март!B18</f>
        <v>Водоотведение (кв)</v>
      </c>
      <c r="C20" s="3">
        <f>88243.47+325197.47</f>
        <v>413440.93999999994</v>
      </c>
      <c r="D20" s="12">
        <f>C20+март!D18</f>
        <v>1640714.29</v>
      </c>
      <c r="E20" s="4">
        <f>62541.48+283297.88</f>
        <v>345839.35999999999</v>
      </c>
      <c r="F20" s="12">
        <f>E20+март!F18</f>
        <v>1416436</v>
      </c>
      <c r="G20" s="12">
        <f t="shared" si="0"/>
        <v>-67601.579999999958</v>
      </c>
      <c r="H20" s="14">
        <f t="shared" si="0"/>
        <v>-224278.29000000004</v>
      </c>
      <c r="I20" s="4"/>
      <c r="J20" s="14">
        <f>I20+март!J18</f>
        <v>0</v>
      </c>
      <c r="K20" s="3"/>
      <c r="L20" s="12">
        <f>K20+март!L18</f>
        <v>0</v>
      </c>
      <c r="M20" s="14">
        <f t="shared" si="1"/>
        <v>0</v>
      </c>
    </row>
    <row r="21" spans="1:13" ht="16.5" customHeight="1">
      <c r="A21" s="1">
        <f t="shared" si="2"/>
        <v>17</v>
      </c>
      <c r="B21" s="41" t="str">
        <f>март!B19</f>
        <v>Электроснабж.на общед.нужды</v>
      </c>
      <c r="C21" s="3">
        <f>1254.86+6004.82</f>
        <v>7259.6799999999994</v>
      </c>
      <c r="D21" s="12">
        <f>C21+март!D19</f>
        <v>29811.920000000002</v>
      </c>
      <c r="E21" s="4">
        <f>1184.76+6521.2</f>
        <v>7705.96</v>
      </c>
      <c r="F21" s="12">
        <f>E21+март!F19</f>
        <v>25931</v>
      </c>
      <c r="G21" s="12">
        <f t="shared" si="0"/>
        <v>446.28000000000065</v>
      </c>
      <c r="H21" s="14">
        <f t="shared" si="0"/>
        <v>-3880.9200000000019</v>
      </c>
      <c r="I21" s="4"/>
      <c r="J21" s="14">
        <f>I21+март!J19</f>
        <v>0</v>
      </c>
      <c r="K21" s="3"/>
      <c r="L21" s="12">
        <f>K21+март!L19</f>
        <v>0</v>
      </c>
      <c r="M21" s="14">
        <f t="shared" si="1"/>
        <v>0</v>
      </c>
    </row>
    <row r="22" spans="1:13">
      <c r="A22" s="1">
        <f t="shared" si="2"/>
        <v>18</v>
      </c>
      <c r="B22" s="41" t="str">
        <f>март!B20</f>
        <v>Эксплуатация общед. ПУ</v>
      </c>
      <c r="C22" s="3">
        <f>2377.12+14130.82</f>
        <v>16507.939999999999</v>
      </c>
      <c r="D22" s="12">
        <f>C22+март!D20</f>
        <v>65943.31</v>
      </c>
      <c r="E22" s="4">
        <f>2568.19+14261.87</f>
        <v>16830.060000000001</v>
      </c>
      <c r="F22" s="12">
        <f>E22+март!F20</f>
        <v>61586.5</v>
      </c>
      <c r="G22" s="12">
        <f t="shared" si="0"/>
        <v>322.12000000000262</v>
      </c>
      <c r="H22" s="14">
        <f t="shared" si="0"/>
        <v>-4356.8099999999977</v>
      </c>
      <c r="I22" s="4"/>
      <c r="J22" s="14">
        <f>I22+март!J20</f>
        <v>0</v>
      </c>
      <c r="K22" s="3"/>
      <c r="L22" s="12">
        <f>K22+март!L20</f>
        <v>0</v>
      </c>
      <c r="M22" s="14">
        <f t="shared" si="1"/>
        <v>0</v>
      </c>
    </row>
    <row r="23" spans="1:13">
      <c r="A23" s="1">
        <f t="shared" si="2"/>
        <v>19</v>
      </c>
      <c r="B23" s="41" t="str">
        <f>март!B21</f>
        <v>Хол.водоснабж.(о/д нужды)</v>
      </c>
      <c r="C23" s="3">
        <f>1034.98+5338.46</f>
        <v>6373.4400000000005</v>
      </c>
      <c r="D23" s="12">
        <f>C23+март!D21</f>
        <v>24916.260000000002</v>
      </c>
      <c r="E23" s="4">
        <f>1927.08+5941.78</f>
        <v>7868.86</v>
      </c>
      <c r="F23" s="12">
        <f>E23+март!F21</f>
        <v>26450.29</v>
      </c>
      <c r="G23" s="12">
        <f t="shared" si="0"/>
        <v>1495.4199999999992</v>
      </c>
      <c r="H23" s="14">
        <f t="shared" si="0"/>
        <v>1534.0299999999988</v>
      </c>
      <c r="I23" s="4"/>
      <c r="J23" s="14">
        <f>I23+март!J21</f>
        <v>0</v>
      </c>
      <c r="K23" s="3"/>
      <c r="L23" s="12">
        <f>K23+март!L21</f>
        <v>0</v>
      </c>
      <c r="M23" s="14">
        <f t="shared" si="1"/>
        <v>0</v>
      </c>
    </row>
    <row r="24" spans="1:13">
      <c r="A24" s="1">
        <f t="shared" si="2"/>
        <v>20</v>
      </c>
      <c r="B24" s="41" t="str">
        <f>март!B22</f>
        <v>Водоотведение(о/д нужды)</v>
      </c>
      <c r="C24" s="3">
        <v>0</v>
      </c>
      <c r="D24" s="12">
        <f>C24+март!D22</f>
        <v>-190.85</v>
      </c>
      <c r="E24" s="4">
        <v>-308.55</v>
      </c>
      <c r="F24" s="12">
        <f>E24+март!F22</f>
        <v>-315.64999999999998</v>
      </c>
      <c r="G24" s="12">
        <f t="shared" si="0"/>
        <v>-308.55</v>
      </c>
      <c r="H24" s="14">
        <f t="shared" si="0"/>
        <v>-124.79999999999998</v>
      </c>
      <c r="I24" s="4"/>
      <c r="J24" s="14">
        <f>I24+март!J22</f>
        <v>0</v>
      </c>
      <c r="K24" s="3"/>
      <c r="L24" s="12">
        <f>K24+март!L22</f>
        <v>0</v>
      </c>
      <c r="M24" s="14">
        <f t="shared" si="1"/>
        <v>0</v>
      </c>
    </row>
    <row r="25" spans="1:13">
      <c r="A25" s="1">
        <f t="shared" si="2"/>
        <v>21</v>
      </c>
      <c r="B25" s="41" t="str">
        <f>март!B23</f>
        <v>Отопление (о/д нужды)</v>
      </c>
      <c r="C25" s="3">
        <v>0</v>
      </c>
      <c r="D25" s="12">
        <f>C25+март!D23</f>
        <v>-848.48</v>
      </c>
      <c r="E25" s="4">
        <v>0</v>
      </c>
      <c r="F25" s="12">
        <f>E25+март!F23</f>
        <v>1005</v>
      </c>
      <c r="G25" s="12">
        <f t="shared" si="0"/>
        <v>0</v>
      </c>
      <c r="H25" s="14">
        <f t="shared" si="0"/>
        <v>1853.48</v>
      </c>
      <c r="I25" s="4"/>
      <c r="J25" s="14">
        <f>I25+март!J23</f>
        <v>0</v>
      </c>
      <c r="K25" s="3"/>
      <c r="L25" s="12">
        <f>K25+март!L23</f>
        <v>0</v>
      </c>
      <c r="M25" s="14">
        <f t="shared" si="1"/>
        <v>0</v>
      </c>
    </row>
    <row r="26" spans="1:13">
      <c r="A26" s="1">
        <f t="shared" si="2"/>
        <v>22</v>
      </c>
      <c r="B26" s="41" t="str">
        <f>март!B24</f>
        <v>Электроснабжение (общед.н)</v>
      </c>
      <c r="C26" s="3">
        <f>31553.96+200480.27</f>
        <v>232034.22999999998</v>
      </c>
      <c r="D26" s="12">
        <f>C26+март!D24</f>
        <v>1029586.47</v>
      </c>
      <c r="E26" s="4">
        <f>36717.1+211957.44</f>
        <v>248674.54</v>
      </c>
      <c r="F26" s="12">
        <f>E26+март!F24</f>
        <v>978319.45000000007</v>
      </c>
      <c r="G26" s="12">
        <f t="shared" si="0"/>
        <v>16640.310000000027</v>
      </c>
      <c r="H26" s="14">
        <f t="shared" si="0"/>
        <v>-51267.019999999902</v>
      </c>
      <c r="I26" s="4"/>
      <c r="J26" s="14">
        <f>I26+март!J24</f>
        <v>0</v>
      </c>
      <c r="K26" s="4"/>
      <c r="L26" s="12">
        <f>K26+март!L24</f>
        <v>0</v>
      </c>
      <c r="M26" s="14">
        <f t="shared" si="1"/>
        <v>0</v>
      </c>
    </row>
    <row r="27" spans="1:13">
      <c r="A27" s="1">
        <f t="shared" si="2"/>
        <v>23</v>
      </c>
      <c r="B27" s="41" t="str">
        <f>март!B25</f>
        <v>Гор.водоснабж.(о/д нужды)</v>
      </c>
      <c r="C27" s="3">
        <f>2085.52+11167.22+6483.4</f>
        <v>19736.14</v>
      </c>
      <c r="D27" s="12">
        <f>C27+март!D25</f>
        <v>59091.380000000005</v>
      </c>
      <c r="E27" s="4">
        <f>2323.45+11663.7+10263.17</f>
        <v>24250.32</v>
      </c>
      <c r="F27" s="12">
        <f>E27+март!F25</f>
        <v>59229.439999999995</v>
      </c>
      <c r="G27" s="12">
        <f t="shared" si="0"/>
        <v>4514.18</v>
      </c>
      <c r="H27" s="14">
        <f t="shared" si="0"/>
        <v>138.0599999999904</v>
      </c>
      <c r="I27" s="4"/>
      <c r="J27" s="14">
        <f>I27+март!J25</f>
        <v>0</v>
      </c>
      <c r="K27" s="3"/>
      <c r="L27" s="12">
        <f>K27+март!L25</f>
        <v>0</v>
      </c>
      <c r="M27" s="14">
        <f t="shared" si="1"/>
        <v>0</v>
      </c>
    </row>
    <row r="28" spans="1:13">
      <c r="A28" s="1">
        <f t="shared" si="2"/>
        <v>24</v>
      </c>
      <c r="B28" s="41" t="str">
        <f>март!B26</f>
        <v>Капитальный ремонт</v>
      </c>
      <c r="C28" s="3">
        <v>0</v>
      </c>
      <c r="D28" s="12">
        <f>C28+март!D26</f>
        <v>0</v>
      </c>
      <c r="E28" s="4">
        <v>0</v>
      </c>
      <c r="F28" s="12">
        <f>E28+март!F26</f>
        <v>0</v>
      </c>
      <c r="G28" s="12">
        <f t="shared" si="0"/>
        <v>0</v>
      </c>
      <c r="H28" s="14">
        <f t="shared" si="0"/>
        <v>0</v>
      </c>
      <c r="I28" s="4"/>
      <c r="J28" s="14">
        <f>I28+март!J26</f>
        <v>0</v>
      </c>
      <c r="K28" s="3"/>
      <c r="L28" s="12">
        <f>K28+март!L26</f>
        <v>0</v>
      </c>
      <c r="M28" s="14">
        <f t="shared" si="1"/>
        <v>0</v>
      </c>
    </row>
    <row r="29" spans="1:13">
      <c r="A29" s="1">
        <f t="shared" si="2"/>
        <v>25</v>
      </c>
      <c r="B29" s="41" t="str">
        <f>март!B27</f>
        <v>Уборка лестн. Кл</v>
      </c>
      <c r="C29" s="3">
        <v>0</v>
      </c>
      <c r="D29" s="12">
        <f>C29+март!D27</f>
        <v>4670.8500000000004</v>
      </c>
      <c r="E29" s="4">
        <v>0</v>
      </c>
      <c r="F29" s="12">
        <f>E29+март!F27</f>
        <v>2749.94</v>
      </c>
      <c r="G29" s="12">
        <f t="shared" si="0"/>
        <v>0</v>
      </c>
      <c r="H29" s="14">
        <f t="shared" si="0"/>
        <v>-1920.9100000000003</v>
      </c>
      <c r="I29" s="4"/>
      <c r="J29" s="14">
        <f>I29+март!J27</f>
        <v>0</v>
      </c>
      <c r="K29" s="3"/>
      <c r="L29" s="12">
        <f>K29+март!L27</f>
        <v>0</v>
      </c>
      <c r="M29" s="14">
        <f t="shared" si="1"/>
        <v>0</v>
      </c>
    </row>
    <row r="30" spans="1:13" s="6" customFormat="1">
      <c r="A30" s="16"/>
      <c r="B30" s="17" t="s">
        <v>12</v>
      </c>
      <c r="C30" s="13">
        <f t="shared" ref="C30:L30" si="3">SUM(C5:C29)</f>
        <v>3622360.46</v>
      </c>
      <c r="D30" s="13">
        <f t="shared" si="3"/>
        <v>15613072.069999998</v>
      </c>
      <c r="E30" s="15">
        <f t="shared" si="3"/>
        <v>3643486.39</v>
      </c>
      <c r="F30" s="13">
        <f t="shared" si="3"/>
        <v>13753303.249999998</v>
      </c>
      <c r="G30" s="13">
        <f t="shared" si="3"/>
        <v>21125.930000000204</v>
      </c>
      <c r="H30" s="15">
        <f t="shared" si="3"/>
        <v>-1859768.8199999991</v>
      </c>
      <c r="I30" s="15">
        <f t="shared" si="3"/>
        <v>0</v>
      </c>
      <c r="J30" s="15">
        <f t="shared" si="3"/>
        <v>0</v>
      </c>
      <c r="K30" s="13">
        <f t="shared" si="3"/>
        <v>0</v>
      </c>
      <c r="L30" s="13">
        <f t="shared" si="3"/>
        <v>0</v>
      </c>
      <c r="M30" s="15">
        <f>SUM(M5:M29)</f>
        <v>0</v>
      </c>
    </row>
    <row r="32" spans="1:13">
      <c r="B32" s="57" t="s">
        <v>42</v>
      </c>
      <c r="C32" s="58">
        <f>C14+C15+C16+C20+C23+C24</f>
        <v>679811.72999999986</v>
      </c>
      <c r="D32" s="58">
        <f t="shared" ref="D32:L32" si="4">D14+D15+D16+D20+D23+D24</f>
        <v>2693647.4699999997</v>
      </c>
      <c r="E32" s="58">
        <f t="shared" si="4"/>
        <v>567990.12999999989</v>
      </c>
      <c r="F32" s="58">
        <f t="shared" si="4"/>
        <v>2330980.86</v>
      </c>
      <c r="G32" s="58">
        <f t="shared" si="4"/>
        <v>-111821.59999999998</v>
      </c>
      <c r="H32" s="58">
        <f t="shared" si="4"/>
        <v>-362666.60999999993</v>
      </c>
      <c r="I32" s="58">
        <f t="shared" si="4"/>
        <v>0</v>
      </c>
      <c r="J32" s="58">
        <f t="shared" si="4"/>
        <v>0</v>
      </c>
      <c r="K32" s="58">
        <f t="shared" si="4"/>
        <v>0</v>
      </c>
      <c r="L32" s="58">
        <f t="shared" si="4"/>
        <v>0</v>
      </c>
    </row>
    <row r="33" spans="2:12">
      <c r="B33" s="57" t="s">
        <v>43</v>
      </c>
      <c r="C33" s="58">
        <f t="shared" ref="C33:L33" si="5">C13+C26+C21</f>
        <v>553036.97000000009</v>
      </c>
      <c r="D33" s="58">
        <f t="shared" si="5"/>
        <v>2313446.88</v>
      </c>
      <c r="E33" s="58">
        <f t="shared" si="5"/>
        <v>546643.17000000004</v>
      </c>
      <c r="F33" s="58">
        <f t="shared" si="5"/>
        <v>2145272.46</v>
      </c>
      <c r="G33" s="58">
        <f t="shared" si="5"/>
        <v>-6393.7999999999283</v>
      </c>
      <c r="H33" s="58">
        <f t="shared" si="5"/>
        <v>-168174.4199999999</v>
      </c>
      <c r="I33" s="58">
        <f t="shared" si="5"/>
        <v>0</v>
      </c>
      <c r="J33" s="58">
        <f t="shared" si="5"/>
        <v>0</v>
      </c>
      <c r="K33" s="58">
        <f t="shared" si="5"/>
        <v>0</v>
      </c>
      <c r="L33" s="58">
        <f t="shared" si="5"/>
        <v>0</v>
      </c>
    </row>
    <row r="34" spans="2:12">
      <c r="B34" s="57" t="s">
        <v>44</v>
      </c>
      <c r="C34" s="58">
        <f>C6+C7+C25+C27</f>
        <v>1626891.05</v>
      </c>
      <c r="D34" s="58">
        <f t="shared" ref="D34:L34" si="6">D6+D7+D25+D27</f>
        <v>7532846.3499999987</v>
      </c>
      <c r="E34" s="58">
        <f t="shared" si="6"/>
        <v>1795937.09</v>
      </c>
      <c r="F34" s="58">
        <f t="shared" si="6"/>
        <v>6499058.870000001</v>
      </c>
      <c r="G34" s="58">
        <f t="shared" si="6"/>
        <v>169046.0400000001</v>
      </c>
      <c r="H34" s="58">
        <f t="shared" si="6"/>
        <v>-1033787.4799999992</v>
      </c>
      <c r="I34" s="58">
        <f t="shared" si="6"/>
        <v>0</v>
      </c>
      <c r="J34" s="58">
        <f t="shared" si="6"/>
        <v>0</v>
      </c>
      <c r="K34" s="58">
        <f t="shared" si="6"/>
        <v>0</v>
      </c>
      <c r="L34" s="58">
        <f t="shared" si="6"/>
        <v>0</v>
      </c>
    </row>
    <row r="35" spans="2:12">
      <c r="B35" s="59" t="s">
        <v>39</v>
      </c>
      <c r="C35" s="58">
        <f t="shared" ref="C35:L35" si="7">C5+C9+C10+C11+C12+C17+C18+C19+C22</f>
        <v>749324.87</v>
      </c>
      <c r="D35" s="58">
        <f t="shared" si="7"/>
        <v>3000127.0199999996</v>
      </c>
      <c r="E35" s="58">
        <f t="shared" si="7"/>
        <v>723793.85</v>
      </c>
      <c r="F35" s="58">
        <f t="shared" si="7"/>
        <v>2727640.63</v>
      </c>
      <c r="G35" s="58">
        <f t="shared" si="7"/>
        <v>-25531.02</v>
      </c>
      <c r="H35" s="58">
        <f t="shared" si="7"/>
        <v>-272486.38999999996</v>
      </c>
      <c r="I35" s="58">
        <f t="shared" si="7"/>
        <v>0</v>
      </c>
      <c r="J35" s="58">
        <f t="shared" si="7"/>
        <v>0</v>
      </c>
      <c r="K35" s="58">
        <f t="shared" si="7"/>
        <v>0</v>
      </c>
      <c r="L35" s="58">
        <f t="shared" si="7"/>
        <v>0</v>
      </c>
    </row>
    <row r="37" spans="2:12">
      <c r="C37">
        <f>672550.31+2949810.15</f>
        <v>3622360.46</v>
      </c>
      <c r="E37">
        <f>603949.9+3039536.49</f>
        <v>3643486.39</v>
      </c>
    </row>
    <row r="39" spans="2:12">
      <c r="C39" s="54"/>
    </row>
    <row r="42" spans="2:12">
      <c r="J42" s="6"/>
      <c r="K42" s="6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M41"/>
  <sheetViews>
    <sheetView workbookViewId="0">
      <selection activeCell="B1" sqref="B1"/>
    </sheetView>
  </sheetViews>
  <sheetFormatPr defaultRowHeight="12.75"/>
  <cols>
    <col min="1" max="1" width="3.42578125" customWidth="1"/>
    <col min="2" max="2" width="29" customWidth="1"/>
    <col min="3" max="3" width="17.42578125" customWidth="1"/>
    <col min="4" max="4" width="13" customWidth="1"/>
    <col min="5" max="5" width="16.28515625" customWidth="1"/>
    <col min="6" max="6" width="12.140625" customWidth="1"/>
    <col min="7" max="7" width="11.5703125" customWidth="1"/>
    <col min="8" max="8" width="12.140625" customWidth="1"/>
    <col min="9" max="9" width="10.140625" customWidth="1"/>
    <col min="10" max="10" width="11.28515625" customWidth="1"/>
    <col min="11" max="11" width="15.85546875" customWidth="1"/>
    <col min="12" max="12" width="12.5703125" customWidth="1"/>
    <col min="13" max="13" width="11.140625" customWidth="1"/>
  </cols>
  <sheetData>
    <row r="1" spans="1:13" ht="30" customHeight="1">
      <c r="B1" s="6" t="s">
        <v>52</v>
      </c>
    </row>
    <row r="2" spans="1:13" s="40" customFormat="1" ht="25.5">
      <c r="A2" s="35" t="s">
        <v>0</v>
      </c>
      <c r="B2" s="36" t="s">
        <v>1</v>
      </c>
      <c r="C2" s="37" t="s">
        <v>2</v>
      </c>
      <c r="D2" s="38" t="s">
        <v>3</v>
      </c>
      <c r="E2" s="36" t="s">
        <v>4</v>
      </c>
      <c r="F2" s="38" t="s">
        <v>5</v>
      </c>
      <c r="G2" s="38" t="s">
        <v>6</v>
      </c>
      <c r="H2" s="38" t="s">
        <v>7</v>
      </c>
      <c r="I2" s="36" t="s">
        <v>8</v>
      </c>
      <c r="J2" s="38" t="s">
        <v>9</v>
      </c>
      <c r="K2" s="36" t="s">
        <v>10</v>
      </c>
      <c r="L2" s="38" t="s">
        <v>11</v>
      </c>
      <c r="M2" s="39" t="s">
        <v>18</v>
      </c>
    </row>
    <row r="3" spans="1:13">
      <c r="A3" s="1">
        <v>1</v>
      </c>
      <c r="B3" s="61" t="str">
        <f>апрель!B5</f>
        <v>Содержание общ.имущ.дома</v>
      </c>
      <c r="C3" s="3">
        <f>67514.71+308655.76</f>
        <v>376170.47000000003</v>
      </c>
      <c r="D3" s="12">
        <f>C3+апрель!D5</f>
        <v>1783315.3099999998</v>
      </c>
      <c r="E3" s="4">
        <f>75007.31+276751.04</f>
        <v>351758.35</v>
      </c>
      <c r="F3" s="12">
        <f>E3+апрель!F5</f>
        <v>1628634.4300000002</v>
      </c>
      <c r="G3" s="12">
        <f>E3-C3</f>
        <v>-24412.120000000054</v>
      </c>
      <c r="H3" s="14">
        <f>F3-D3</f>
        <v>-154680.87999999966</v>
      </c>
      <c r="I3" s="4"/>
      <c r="J3" s="14">
        <f>I3+апрель!J5</f>
        <v>0</v>
      </c>
      <c r="K3" s="3"/>
      <c r="L3" s="12">
        <f>K3+апрель!L5</f>
        <v>0</v>
      </c>
      <c r="M3" s="14">
        <f>J3-L3</f>
        <v>0</v>
      </c>
    </row>
    <row r="4" spans="1:13">
      <c r="A4" s="1">
        <f>A3+1</f>
        <v>2</v>
      </c>
      <c r="B4" s="61" t="str">
        <f>апрель!B6</f>
        <v>Отопление</v>
      </c>
      <c r="C4" s="3">
        <f>88473.09+428763.98</f>
        <v>517237.06999999995</v>
      </c>
      <c r="D4" s="12">
        <f>C4+апрель!D6</f>
        <v>5804998.6699999999</v>
      </c>
      <c r="E4" s="4">
        <f>210187.85+862621.83</f>
        <v>1072809.68</v>
      </c>
      <c r="F4" s="12">
        <f>E4+апрель!F6</f>
        <v>5621607.6100000003</v>
      </c>
      <c r="G4" s="12">
        <f t="shared" ref="G4:H27" si="0">E4-C4</f>
        <v>555572.61</v>
      </c>
      <c r="H4" s="14">
        <f t="shared" si="0"/>
        <v>-183391.05999999959</v>
      </c>
      <c r="I4" s="4"/>
      <c r="J4" s="14">
        <f>I4+апрель!J6</f>
        <v>0</v>
      </c>
      <c r="K4" s="3"/>
      <c r="L4" s="12">
        <f>K4+апрель!L6</f>
        <v>0</v>
      </c>
      <c r="M4" s="14">
        <f t="shared" ref="M4:M27" si="1">J4-L4</f>
        <v>0</v>
      </c>
    </row>
    <row r="5" spans="1:13">
      <c r="A5" s="1">
        <f t="shared" ref="A5:A27" si="2">A4+1</f>
        <v>3</v>
      </c>
      <c r="B5" s="61" t="str">
        <f>апрель!B7</f>
        <v>Горячее водоснабжение</v>
      </c>
      <c r="C5" s="3">
        <f>118352.78+441768.53</f>
        <v>560121.31000000006</v>
      </c>
      <c r="D5" s="12">
        <f>C5+апрель!D7</f>
        <v>2746963.16</v>
      </c>
      <c r="E5" s="4">
        <f>145243.75+398087.78</f>
        <v>543331.53</v>
      </c>
      <c r="F5" s="12">
        <f>E5+апрель!F7</f>
        <v>2433358.0300000003</v>
      </c>
      <c r="G5" s="12">
        <f t="shared" si="0"/>
        <v>-16789.780000000028</v>
      </c>
      <c r="H5" s="14">
        <f t="shared" si="0"/>
        <v>-313605.12999999989</v>
      </c>
      <c r="I5" s="4"/>
      <c r="J5" s="14">
        <f>I5+апрель!J7</f>
        <v>0</v>
      </c>
      <c r="K5" s="3"/>
      <c r="L5" s="12">
        <f>K5+апрель!L7</f>
        <v>0</v>
      </c>
      <c r="M5" s="14">
        <f t="shared" si="1"/>
        <v>0</v>
      </c>
    </row>
    <row r="6" spans="1:13">
      <c r="A6" s="1">
        <f t="shared" si="2"/>
        <v>4</v>
      </c>
      <c r="B6" s="61" t="str">
        <f>апрель!B8</f>
        <v>Газ</v>
      </c>
      <c r="C6" s="3">
        <f>10266.17+7699.61</f>
        <v>17965.78</v>
      </c>
      <c r="D6" s="12">
        <f>C6+апрель!D8</f>
        <v>86299.28</v>
      </c>
      <c r="E6" s="4">
        <f>3779.67+2191.51</f>
        <v>5971.18</v>
      </c>
      <c r="F6" s="12">
        <f>E6+апрель!F8</f>
        <v>53571.67</v>
      </c>
      <c r="G6" s="12">
        <f t="shared" si="0"/>
        <v>-11994.599999999999</v>
      </c>
      <c r="H6" s="14">
        <f t="shared" si="0"/>
        <v>-32727.61</v>
      </c>
      <c r="I6" s="4"/>
      <c r="J6" s="14">
        <f>I6+апрель!J8</f>
        <v>0</v>
      </c>
      <c r="K6" s="3"/>
      <c r="L6" s="12">
        <f>K6+апрель!L8</f>
        <v>0</v>
      </c>
      <c r="M6" s="14">
        <f t="shared" si="1"/>
        <v>0</v>
      </c>
    </row>
    <row r="7" spans="1:13">
      <c r="A7" s="1">
        <f t="shared" si="2"/>
        <v>5</v>
      </c>
      <c r="B7" s="61" t="str">
        <f>апрель!B9</f>
        <v>Со.и ремонт АППЗ</v>
      </c>
      <c r="C7" s="3">
        <f>834.84+4593.01</f>
        <v>5427.85</v>
      </c>
      <c r="D7" s="12">
        <f>C7+апрель!D9</f>
        <v>26238.11</v>
      </c>
      <c r="E7" s="4">
        <f>1320.81+4325.21</f>
        <v>5646.02</v>
      </c>
      <c r="F7" s="12">
        <f>E7+апрель!F9</f>
        <v>24652.170000000002</v>
      </c>
      <c r="G7" s="12">
        <f t="shared" si="0"/>
        <v>218.17000000000007</v>
      </c>
      <c r="H7" s="14">
        <f t="shared" si="0"/>
        <v>-1585.9399999999987</v>
      </c>
      <c r="I7" s="4"/>
      <c r="J7" s="14">
        <f>I7+апрель!J9</f>
        <v>0</v>
      </c>
      <c r="K7" s="3"/>
      <c r="L7" s="12">
        <f>K7+апрель!L9</f>
        <v>0</v>
      </c>
      <c r="M7" s="14">
        <f t="shared" si="1"/>
        <v>0</v>
      </c>
    </row>
    <row r="8" spans="1:13">
      <c r="A8" s="1">
        <f t="shared" si="2"/>
        <v>6</v>
      </c>
      <c r="B8" s="61" t="str">
        <f>апрель!B10</f>
        <v>Сод.и ремонт лифтов</v>
      </c>
      <c r="C8" s="3">
        <f>4982.88+26825.68</f>
        <v>31808.560000000001</v>
      </c>
      <c r="D8" s="12">
        <f>C8+апрель!D10</f>
        <v>172556.82</v>
      </c>
      <c r="E8" s="4">
        <f>8786.51+26010.26</f>
        <v>34796.769999999997</v>
      </c>
      <c r="F8" s="12">
        <f>E8+апрель!F10</f>
        <v>164924.68</v>
      </c>
      <c r="G8" s="12">
        <f t="shared" si="0"/>
        <v>2988.2099999999955</v>
      </c>
      <c r="H8" s="14">
        <f t="shared" si="0"/>
        <v>-7632.140000000014</v>
      </c>
      <c r="I8" s="4"/>
      <c r="J8" s="14">
        <f>I8+апрель!J10</f>
        <v>0</v>
      </c>
      <c r="K8" s="3"/>
      <c r="L8" s="12">
        <f>K8+апрель!L10</f>
        <v>0</v>
      </c>
      <c r="M8" s="14">
        <f t="shared" si="1"/>
        <v>0</v>
      </c>
    </row>
    <row r="9" spans="1:13">
      <c r="A9" s="1">
        <f t="shared" si="2"/>
        <v>7</v>
      </c>
      <c r="B9" s="61" t="str">
        <f>апрель!B11</f>
        <v>Очистка мусоропроводов</v>
      </c>
      <c r="C9" s="3">
        <f>2694.2+14467.03</f>
        <v>17161.23</v>
      </c>
      <c r="D9" s="12">
        <f>C9+апрель!D11</f>
        <v>83241.25</v>
      </c>
      <c r="E9" s="4">
        <f>4160.97+13761.75</f>
        <v>17922.72</v>
      </c>
      <c r="F9" s="12">
        <f>E9+апрель!F11</f>
        <v>77621.73000000001</v>
      </c>
      <c r="G9" s="12">
        <f t="shared" si="0"/>
        <v>761.4900000000016</v>
      </c>
      <c r="H9" s="14">
        <f t="shared" si="0"/>
        <v>-5619.5199999999895</v>
      </c>
      <c r="I9" s="4"/>
      <c r="J9" s="14">
        <f>I9+апрель!J11</f>
        <v>0</v>
      </c>
      <c r="K9" s="3"/>
      <c r="L9" s="12">
        <f>K9+апрель!L11</f>
        <v>0</v>
      </c>
      <c r="M9" s="14">
        <f t="shared" si="1"/>
        <v>0</v>
      </c>
    </row>
    <row r="10" spans="1:13">
      <c r="A10" s="1">
        <f t="shared" si="2"/>
        <v>8</v>
      </c>
      <c r="B10" s="61" t="str">
        <f>апрель!B12</f>
        <v>Уборка и сан.очистка зем.уч.</v>
      </c>
      <c r="C10" s="3">
        <f>10382.53+47490.94</f>
        <v>57873.47</v>
      </c>
      <c r="D10" s="12">
        <f>C10+апрель!D12</f>
        <v>274514.66000000003</v>
      </c>
      <c r="E10" s="4">
        <f>11057.66+42485.71</f>
        <v>53543.369999999995</v>
      </c>
      <c r="F10" s="12">
        <f>E10+апрель!F12</f>
        <v>249334.44999999998</v>
      </c>
      <c r="G10" s="12">
        <f t="shared" si="0"/>
        <v>-4330.1000000000058</v>
      </c>
      <c r="H10" s="14">
        <f t="shared" si="0"/>
        <v>-25180.21000000005</v>
      </c>
      <c r="I10" s="4"/>
      <c r="J10" s="14">
        <f>I10+апрель!J12</f>
        <v>0</v>
      </c>
      <c r="K10" s="3"/>
      <c r="L10" s="12">
        <f>K10+апрель!L12</f>
        <v>0</v>
      </c>
      <c r="M10" s="14">
        <f t="shared" si="1"/>
        <v>0</v>
      </c>
    </row>
    <row r="11" spans="1:13" ht="12.75" customHeight="1">
      <c r="A11" s="1">
        <f t="shared" si="2"/>
        <v>9</v>
      </c>
      <c r="B11" s="61" t="str">
        <f>апрель!B13</f>
        <v>Электроснабжение (инд.потр)</v>
      </c>
      <c r="C11" s="3">
        <f>67371.8+258238.9</f>
        <v>325610.7</v>
      </c>
      <c r="D11" s="12">
        <f>C11+апрель!D13</f>
        <v>1579659.19</v>
      </c>
      <c r="E11" s="4">
        <f>77043.98+249397.92</f>
        <v>326441.90000000002</v>
      </c>
      <c r="F11" s="12">
        <f>E11+апрель!F13</f>
        <v>1467463.9100000001</v>
      </c>
      <c r="G11" s="12">
        <f t="shared" si="0"/>
        <v>831.20000000001164</v>
      </c>
      <c r="H11" s="14">
        <f t="shared" si="0"/>
        <v>-112195.2799999998</v>
      </c>
      <c r="I11" s="4"/>
      <c r="J11" s="14">
        <f>I11+апрель!J13</f>
        <v>0</v>
      </c>
      <c r="K11" s="3"/>
      <c r="L11" s="12">
        <f>K11+апрель!L13</f>
        <v>0</v>
      </c>
      <c r="M11" s="14">
        <f t="shared" si="1"/>
        <v>0</v>
      </c>
    </row>
    <row r="12" spans="1:13">
      <c r="A12" s="1">
        <f t="shared" si="2"/>
        <v>10</v>
      </c>
      <c r="B12" s="61" t="str">
        <f>апрель!B14</f>
        <v>Холодная вода</v>
      </c>
      <c r="C12" s="3">
        <f>61568.36+225937.45</f>
        <v>287505.81</v>
      </c>
      <c r="D12" s="12">
        <f>C12+апрель!D14</f>
        <v>1319428.6399999999</v>
      </c>
      <c r="E12" s="4">
        <f>67446.84+182136.49</f>
        <v>249583.33</v>
      </c>
      <c r="F12" s="12">
        <f>E12+апрель!F14</f>
        <v>1135176.68</v>
      </c>
      <c r="G12" s="12">
        <f t="shared" si="0"/>
        <v>-37922.48000000001</v>
      </c>
      <c r="H12" s="14">
        <f t="shared" si="0"/>
        <v>-184251.95999999996</v>
      </c>
      <c r="I12" s="4"/>
      <c r="J12" s="14">
        <f>I12+апрель!J14</f>
        <v>0</v>
      </c>
      <c r="K12" s="3"/>
      <c r="L12" s="12">
        <f>K12+апрель!L14</f>
        <v>0</v>
      </c>
      <c r="M12" s="14">
        <f t="shared" si="1"/>
        <v>0</v>
      </c>
    </row>
    <row r="13" spans="1:13">
      <c r="A13" s="1">
        <f t="shared" si="2"/>
        <v>11</v>
      </c>
      <c r="B13" s="61" t="str">
        <f>апрель!B15</f>
        <v>Канализирование х. воды</v>
      </c>
      <c r="C13" s="3">
        <v>0</v>
      </c>
      <c r="D13" s="12">
        <f>C13+апрель!D15</f>
        <v>-2210.14</v>
      </c>
      <c r="E13" s="4">
        <v>1012.76</v>
      </c>
      <c r="F13" s="12">
        <f>E13+апрель!F15</f>
        <v>2687.85</v>
      </c>
      <c r="G13" s="12">
        <f t="shared" si="0"/>
        <v>1012.76</v>
      </c>
      <c r="H13" s="14">
        <f t="shared" si="0"/>
        <v>4897.99</v>
      </c>
      <c r="I13" s="4"/>
      <c r="J13" s="14">
        <f>I13+апрель!J15</f>
        <v>0</v>
      </c>
      <c r="K13" s="3"/>
      <c r="L13" s="12">
        <f>K13+апрель!L15</f>
        <v>0</v>
      </c>
      <c r="M13" s="14">
        <f t="shared" si="1"/>
        <v>0</v>
      </c>
    </row>
    <row r="14" spans="1:13">
      <c r="A14" s="1">
        <f t="shared" si="2"/>
        <v>12</v>
      </c>
      <c r="B14" s="61" t="str">
        <f>апрель!B16</f>
        <v>Канализирование г. воды</v>
      </c>
      <c r="C14" s="3">
        <v>0</v>
      </c>
      <c r="D14" s="12">
        <f>C14+апрель!D16</f>
        <v>-1504.92</v>
      </c>
      <c r="E14" s="4">
        <v>238.16</v>
      </c>
      <c r="F14" s="12">
        <f>E14+апрель!F16</f>
        <v>1379.94</v>
      </c>
      <c r="G14" s="12">
        <f t="shared" si="0"/>
        <v>238.16</v>
      </c>
      <c r="H14" s="14">
        <f t="shared" si="0"/>
        <v>2884.86</v>
      </c>
      <c r="I14" s="4"/>
      <c r="J14" s="14">
        <f>I14+апрель!J16</f>
        <v>0</v>
      </c>
      <c r="K14" s="3"/>
      <c r="L14" s="12">
        <f>K14+апрель!L16</f>
        <v>0</v>
      </c>
      <c r="M14" s="14">
        <f t="shared" si="1"/>
        <v>0</v>
      </c>
    </row>
    <row r="15" spans="1:13">
      <c r="A15" s="1">
        <f t="shared" si="2"/>
        <v>13</v>
      </c>
      <c r="B15" s="61" t="str">
        <f>апрель!B17</f>
        <v>Тек.рем.общ.имущ.дома</v>
      </c>
      <c r="C15" s="3">
        <f>35232.41+161157.03</f>
        <v>196389.44</v>
      </c>
      <c r="D15" s="12">
        <f>C15+апрель!D17</f>
        <v>930205.88000000012</v>
      </c>
      <c r="E15" s="4">
        <f>38273.11+144625.53</f>
        <v>182898.64</v>
      </c>
      <c r="F15" s="12">
        <f>E15+апрель!F17</f>
        <v>854885.69</v>
      </c>
      <c r="G15" s="12">
        <f t="shared" si="0"/>
        <v>-13490.799999999988</v>
      </c>
      <c r="H15" s="14">
        <f t="shared" si="0"/>
        <v>-75320.190000000177</v>
      </c>
      <c r="I15" s="4"/>
      <c r="J15" s="14">
        <f>I15+апрель!J17</f>
        <v>0</v>
      </c>
      <c r="K15" s="3"/>
      <c r="L15" s="12">
        <f>K15+апрель!L17</f>
        <v>0</v>
      </c>
      <c r="M15" s="14">
        <f t="shared" si="1"/>
        <v>0</v>
      </c>
    </row>
    <row r="16" spans="1:13">
      <c r="A16" s="1">
        <f t="shared" si="2"/>
        <v>14</v>
      </c>
      <c r="B16" s="61" t="str">
        <f>апрель!B18</f>
        <v>Сод.и тек.рем.в/дом.газосн.</v>
      </c>
      <c r="C16" s="3">
        <f>2208.81+10226.94</f>
        <v>12435.75</v>
      </c>
      <c r="D16" s="12">
        <f>C16+апрель!D18</f>
        <v>57798.38</v>
      </c>
      <c r="E16" s="4">
        <f>1820.31+8914.53</f>
        <v>10734.84</v>
      </c>
      <c r="F16" s="12">
        <f>E16+апрель!F18</f>
        <v>52805.009999999995</v>
      </c>
      <c r="G16" s="12">
        <f t="shared" si="0"/>
        <v>-1700.9099999999999</v>
      </c>
      <c r="H16" s="14">
        <f t="shared" si="0"/>
        <v>-4993.3700000000026</v>
      </c>
      <c r="I16" s="4"/>
      <c r="J16" s="14">
        <f>I16+апрель!J18</f>
        <v>0</v>
      </c>
      <c r="K16" s="3"/>
      <c r="L16" s="12">
        <f>K16+апрель!L18</f>
        <v>0</v>
      </c>
      <c r="M16" s="14">
        <f t="shared" si="1"/>
        <v>0</v>
      </c>
    </row>
    <row r="17" spans="1:13">
      <c r="A17" s="1">
        <f t="shared" si="2"/>
        <v>15</v>
      </c>
      <c r="B17" s="61" t="str">
        <f>апрель!B19</f>
        <v>Управление многокв.домом</v>
      </c>
      <c r="C17" s="3">
        <f>14522.14+66436.37</f>
        <v>80958.509999999995</v>
      </c>
      <c r="D17" s="12">
        <f>C17+апрель!D19</f>
        <v>384538.58</v>
      </c>
      <c r="E17" s="4">
        <f>14992.06+59191.36</f>
        <v>74183.42</v>
      </c>
      <c r="F17" s="12">
        <f>E17+апрель!F19</f>
        <v>344680.1</v>
      </c>
      <c r="G17" s="12">
        <f t="shared" si="0"/>
        <v>-6775.0899999999965</v>
      </c>
      <c r="H17" s="14">
        <f t="shared" si="0"/>
        <v>-39858.48000000004</v>
      </c>
      <c r="I17" s="4"/>
      <c r="J17" s="14">
        <f>I17+апрель!J19</f>
        <v>0</v>
      </c>
      <c r="K17" s="3"/>
      <c r="L17" s="12">
        <f>K17+апрель!L19</f>
        <v>0</v>
      </c>
      <c r="M17" s="14">
        <f t="shared" si="1"/>
        <v>0</v>
      </c>
    </row>
    <row r="18" spans="1:13">
      <c r="A18" s="1">
        <f t="shared" si="2"/>
        <v>16</v>
      </c>
      <c r="B18" s="61" t="str">
        <f>апрель!B20</f>
        <v>Водоотведение (кв)</v>
      </c>
      <c r="C18" s="3">
        <f>94458.75+348706.09</f>
        <v>443164.84</v>
      </c>
      <c r="D18" s="12">
        <f>C18+апрель!D20</f>
        <v>2083879.1300000001</v>
      </c>
      <c r="E18" s="4">
        <f>106501.66+293415.29</f>
        <v>399916.94999999995</v>
      </c>
      <c r="F18" s="12">
        <f>E18+апрель!F20</f>
        <v>1816352.95</v>
      </c>
      <c r="G18" s="12">
        <f t="shared" si="0"/>
        <v>-43247.890000000072</v>
      </c>
      <c r="H18" s="14">
        <f t="shared" si="0"/>
        <v>-267526.18000000017</v>
      </c>
      <c r="I18" s="4"/>
      <c r="J18" s="14">
        <f>I18+апрель!J20</f>
        <v>0</v>
      </c>
      <c r="K18" s="3"/>
      <c r="L18" s="12">
        <f>K18+апрель!L20</f>
        <v>0</v>
      </c>
      <c r="M18" s="14">
        <f t="shared" si="1"/>
        <v>0</v>
      </c>
    </row>
    <row r="19" spans="1:13" ht="12" customHeight="1">
      <c r="A19" s="1">
        <f t="shared" si="2"/>
        <v>17</v>
      </c>
      <c r="B19" s="61" t="str">
        <f>апрель!B21</f>
        <v>Электроснабж.на общед.нужды</v>
      </c>
      <c r="C19" s="3">
        <f>1012.82+4768.1</f>
        <v>5780.92</v>
      </c>
      <c r="D19" s="12">
        <f>C19+апрель!D21</f>
        <v>35592.840000000004</v>
      </c>
      <c r="E19" s="4">
        <f>1559.18+5268.18</f>
        <v>6827.3600000000006</v>
      </c>
      <c r="F19" s="12">
        <f>E19+апрель!F21</f>
        <v>32758.36</v>
      </c>
      <c r="G19" s="12">
        <f t="shared" si="0"/>
        <v>1046.4400000000005</v>
      </c>
      <c r="H19" s="14">
        <f t="shared" si="0"/>
        <v>-2834.4800000000032</v>
      </c>
      <c r="I19" s="4"/>
      <c r="J19" s="14">
        <f>I19+апрель!J21</f>
        <v>0</v>
      </c>
      <c r="K19" s="3"/>
      <c r="L19" s="12">
        <f>K19+апрель!L21</f>
        <v>0</v>
      </c>
      <c r="M19" s="14">
        <f t="shared" si="1"/>
        <v>0</v>
      </c>
    </row>
    <row r="20" spans="1:13">
      <c r="A20" s="1">
        <f t="shared" si="2"/>
        <v>18</v>
      </c>
      <c r="B20" s="61" t="str">
        <f>апрель!B22</f>
        <v>Эксплуатация общед. ПУ</v>
      </c>
      <c r="C20" s="3">
        <f>2834.71+14978.84</f>
        <v>17813.55</v>
      </c>
      <c r="D20" s="12">
        <f>C20+апрель!D22</f>
        <v>83756.86</v>
      </c>
      <c r="E20" s="4">
        <f>3354.76+13336.69</f>
        <v>16691.45</v>
      </c>
      <c r="F20" s="12">
        <f>E20+апрель!F22</f>
        <v>78277.95</v>
      </c>
      <c r="G20" s="12">
        <f t="shared" si="0"/>
        <v>-1122.0999999999985</v>
      </c>
      <c r="H20" s="14">
        <f t="shared" si="0"/>
        <v>-5478.9100000000035</v>
      </c>
      <c r="I20" s="4"/>
      <c r="J20" s="14">
        <f>I20+апрель!J22</f>
        <v>0</v>
      </c>
      <c r="K20" s="3"/>
      <c r="L20" s="12">
        <f>K20+апрель!L22</f>
        <v>0</v>
      </c>
      <c r="M20" s="14">
        <f t="shared" si="1"/>
        <v>0</v>
      </c>
    </row>
    <row r="21" spans="1:13">
      <c r="A21" s="1">
        <f t="shared" si="2"/>
        <v>19</v>
      </c>
      <c r="B21" s="61" t="str">
        <f>апрель!B23</f>
        <v>Хол.водоснабж.(о/д нужды)</v>
      </c>
      <c r="C21" s="3">
        <f>1084.94+5594.1</f>
        <v>6679.0400000000009</v>
      </c>
      <c r="D21" s="12">
        <f>C21+апрель!D23</f>
        <v>31595.300000000003</v>
      </c>
      <c r="E21" s="4">
        <f>1731.69+5625.18</f>
        <v>7356.8700000000008</v>
      </c>
      <c r="F21" s="12">
        <f>E21+апрель!F23</f>
        <v>33807.160000000003</v>
      </c>
      <c r="G21" s="12">
        <f t="shared" si="0"/>
        <v>677.82999999999993</v>
      </c>
      <c r="H21" s="14">
        <f t="shared" si="0"/>
        <v>2211.8600000000006</v>
      </c>
      <c r="I21" s="4"/>
      <c r="J21" s="14">
        <f>I21+апрель!J23</f>
        <v>0</v>
      </c>
      <c r="K21" s="3"/>
      <c r="L21" s="12">
        <f>K21+апрель!L23</f>
        <v>0</v>
      </c>
      <c r="M21" s="14">
        <f t="shared" si="1"/>
        <v>0</v>
      </c>
    </row>
    <row r="22" spans="1:13">
      <c r="A22" s="1">
        <f t="shared" si="2"/>
        <v>20</v>
      </c>
      <c r="B22" s="61" t="str">
        <f>апрель!B24</f>
        <v>Водоотведение(о/д нужды)</v>
      </c>
      <c r="C22" s="3">
        <v>0</v>
      </c>
      <c r="D22" s="12">
        <f>C22+апрель!D24</f>
        <v>-190.85</v>
      </c>
      <c r="E22" s="4">
        <v>0</v>
      </c>
      <c r="F22" s="12">
        <f>E22+апрель!F24</f>
        <v>-315.64999999999998</v>
      </c>
      <c r="G22" s="12">
        <f t="shared" si="0"/>
        <v>0</v>
      </c>
      <c r="H22" s="14">
        <f t="shared" si="0"/>
        <v>-124.79999999999998</v>
      </c>
      <c r="I22" s="4"/>
      <c r="J22" s="14">
        <f>I22+апрель!J24</f>
        <v>0</v>
      </c>
      <c r="K22" s="3"/>
      <c r="L22" s="12">
        <f>K22+апрель!L24</f>
        <v>0</v>
      </c>
      <c r="M22" s="14">
        <f t="shared" si="1"/>
        <v>0</v>
      </c>
    </row>
    <row r="23" spans="1:13">
      <c r="A23" s="1">
        <f t="shared" si="2"/>
        <v>21</v>
      </c>
      <c r="B23" s="61" t="str">
        <f>апрель!B25</f>
        <v>Отопление (о/д нужды)</v>
      </c>
      <c r="C23" s="3">
        <v>0</v>
      </c>
      <c r="D23" s="12">
        <f>C23+апрель!D25</f>
        <v>-848.48</v>
      </c>
      <c r="E23" s="4">
        <v>49.91</v>
      </c>
      <c r="F23" s="12">
        <f>E23+апрель!F25</f>
        <v>1054.9100000000001</v>
      </c>
      <c r="G23" s="12">
        <f t="shared" si="0"/>
        <v>49.91</v>
      </c>
      <c r="H23" s="14">
        <f t="shared" si="0"/>
        <v>1903.39</v>
      </c>
      <c r="I23" s="4"/>
      <c r="J23" s="14">
        <f>I23+апрель!J25</f>
        <v>0</v>
      </c>
      <c r="K23" s="3"/>
      <c r="L23" s="12">
        <f>K23+апрель!L25</f>
        <v>0</v>
      </c>
      <c r="M23" s="14">
        <f t="shared" si="1"/>
        <v>0</v>
      </c>
    </row>
    <row r="24" spans="1:13">
      <c r="A24" s="1">
        <f t="shared" si="2"/>
        <v>22</v>
      </c>
      <c r="B24" s="61" t="str">
        <f>апрель!B26</f>
        <v>Электроснабжение (общед.н)</v>
      </c>
      <c r="C24" s="3">
        <f>15726.49+76651.31</f>
        <v>92377.8</v>
      </c>
      <c r="D24" s="12">
        <f>C24+апрель!D26</f>
        <v>1121964.27</v>
      </c>
      <c r="E24" s="4">
        <f>46402.18+207395.31</f>
        <v>253797.49</v>
      </c>
      <c r="F24" s="12">
        <f>E24+апрель!F26</f>
        <v>1232116.94</v>
      </c>
      <c r="G24" s="12">
        <f t="shared" si="0"/>
        <v>161419.69</v>
      </c>
      <c r="H24" s="14">
        <f t="shared" si="0"/>
        <v>110152.66999999993</v>
      </c>
      <c r="I24" s="4"/>
      <c r="J24" s="14">
        <f>I24+апрель!J26</f>
        <v>0</v>
      </c>
      <c r="K24" s="4"/>
      <c r="L24" s="12">
        <f>K24+апрель!L26</f>
        <v>0</v>
      </c>
      <c r="M24" s="14">
        <f t="shared" si="1"/>
        <v>0</v>
      </c>
    </row>
    <row r="25" spans="1:13">
      <c r="A25" s="1">
        <f t="shared" si="2"/>
        <v>23</v>
      </c>
      <c r="B25" s="61" t="str">
        <f>апрель!B27</f>
        <v>Гор.водоснабж.(о/д нужды)</v>
      </c>
      <c r="C25" s="3">
        <f>2204.81+11170.04+9806.43</f>
        <v>23181.279999999999</v>
      </c>
      <c r="D25" s="12">
        <f>C25+апрель!D27</f>
        <v>82272.66</v>
      </c>
      <c r="E25" s="4">
        <f>2812.19+11023.21+8150.76</f>
        <v>21986.16</v>
      </c>
      <c r="F25" s="12">
        <f>E25+апрель!F27</f>
        <v>81215.599999999991</v>
      </c>
      <c r="G25" s="12">
        <f t="shared" si="0"/>
        <v>-1195.119999999999</v>
      </c>
      <c r="H25" s="14">
        <f t="shared" si="0"/>
        <v>-1057.0600000000122</v>
      </c>
      <c r="I25" s="4"/>
      <c r="J25" s="14">
        <f>I25+апрель!J27</f>
        <v>0</v>
      </c>
      <c r="K25" s="3"/>
      <c r="L25" s="12">
        <f>K25+апрель!L27</f>
        <v>0</v>
      </c>
      <c r="M25" s="14">
        <f t="shared" si="1"/>
        <v>0</v>
      </c>
    </row>
    <row r="26" spans="1:13">
      <c r="A26" s="1">
        <f t="shared" si="2"/>
        <v>24</v>
      </c>
      <c r="B26" s="61" t="str">
        <f>апрель!B28</f>
        <v>Капитальный ремонт</v>
      </c>
      <c r="C26" s="3">
        <v>0</v>
      </c>
      <c r="D26" s="12">
        <f>C26+апрель!D28</f>
        <v>0</v>
      </c>
      <c r="E26" s="4">
        <v>0</v>
      </c>
      <c r="F26" s="12">
        <f>E26+апрель!F28</f>
        <v>0</v>
      </c>
      <c r="G26" s="12">
        <f t="shared" si="0"/>
        <v>0</v>
      </c>
      <c r="H26" s="14">
        <f t="shared" si="0"/>
        <v>0</v>
      </c>
      <c r="I26" s="4"/>
      <c r="J26" s="14">
        <f>I26+апрель!J28</f>
        <v>0</v>
      </c>
      <c r="K26" s="3"/>
      <c r="L26" s="12">
        <f>K26+апрель!L28</f>
        <v>0</v>
      </c>
      <c r="M26" s="14">
        <f t="shared" si="1"/>
        <v>0</v>
      </c>
    </row>
    <row r="27" spans="1:13">
      <c r="A27" s="1">
        <f t="shared" si="2"/>
        <v>25</v>
      </c>
      <c r="B27" s="61" t="str">
        <f>апрель!B29</f>
        <v>Уборка лестн. Кл</v>
      </c>
      <c r="C27" s="3">
        <v>0</v>
      </c>
      <c r="D27" s="12">
        <f>C27+апрель!D29</f>
        <v>4670.8500000000004</v>
      </c>
      <c r="E27" s="4">
        <v>0</v>
      </c>
      <c r="F27" s="12">
        <f>E27+апрель!F29</f>
        <v>2749.94</v>
      </c>
      <c r="G27" s="12">
        <f t="shared" si="0"/>
        <v>0</v>
      </c>
      <c r="H27" s="14">
        <f t="shared" si="0"/>
        <v>-1920.9100000000003</v>
      </c>
      <c r="I27" s="4"/>
      <c r="J27" s="14">
        <f>I27+апрель!J29</f>
        <v>0</v>
      </c>
      <c r="K27" s="3"/>
      <c r="L27" s="12">
        <f>K27+апрель!L29</f>
        <v>0</v>
      </c>
      <c r="M27" s="14">
        <f t="shared" si="1"/>
        <v>0</v>
      </c>
    </row>
    <row r="28" spans="1:13" s="6" customFormat="1">
      <c r="A28" s="16"/>
      <c r="B28" s="17" t="s">
        <v>12</v>
      </c>
      <c r="C28" s="13">
        <f t="shared" ref="C28:L28" si="3">SUM(C3:C27)</f>
        <v>3075663.379999999</v>
      </c>
      <c r="D28" s="13">
        <f>C28+апрель!D30</f>
        <v>18688735.449999996</v>
      </c>
      <c r="E28" s="15">
        <f t="shared" si="3"/>
        <v>3637498.8599999994</v>
      </c>
      <c r="F28" s="13">
        <f>E28+апрель!F30</f>
        <v>17390802.109999999</v>
      </c>
      <c r="G28" s="13">
        <f t="shared" si="3"/>
        <v>561835.47999999986</v>
      </c>
      <c r="H28" s="15">
        <f t="shared" si="3"/>
        <v>-1297933.3399999994</v>
      </c>
      <c r="I28" s="15">
        <f t="shared" si="3"/>
        <v>0</v>
      </c>
      <c r="J28" s="15">
        <f t="shared" si="3"/>
        <v>0</v>
      </c>
      <c r="K28" s="13">
        <f t="shared" si="3"/>
        <v>0</v>
      </c>
      <c r="L28" s="13">
        <f t="shared" si="3"/>
        <v>0</v>
      </c>
      <c r="M28" s="15">
        <f>SUM(M3:M27)</f>
        <v>0</v>
      </c>
    </row>
    <row r="30" spans="1:13">
      <c r="B30" s="57" t="s">
        <v>42</v>
      </c>
      <c r="C30" s="58">
        <f>C12+C13+C14+C18+C21+C22</f>
        <v>737349.69000000006</v>
      </c>
      <c r="D30" s="58">
        <f t="shared" ref="D30:L30" si="4">D12+D13+D14+D18+D21+D22</f>
        <v>3430997.1599999997</v>
      </c>
      <c r="E30" s="58">
        <f t="shared" si="4"/>
        <v>658108.06999999995</v>
      </c>
      <c r="F30" s="58">
        <f t="shared" si="4"/>
        <v>2989088.93</v>
      </c>
      <c r="G30" s="58">
        <f t="shared" si="4"/>
        <v>-79241.620000000068</v>
      </c>
      <c r="H30" s="58">
        <f t="shared" si="4"/>
        <v>-441908.23000000016</v>
      </c>
      <c r="I30" s="58">
        <f t="shared" si="4"/>
        <v>0</v>
      </c>
      <c r="J30" s="58">
        <f t="shared" si="4"/>
        <v>0</v>
      </c>
      <c r="K30" s="58">
        <f t="shared" si="4"/>
        <v>0</v>
      </c>
      <c r="L30" s="58">
        <f t="shared" si="4"/>
        <v>0</v>
      </c>
    </row>
    <row r="31" spans="1:13">
      <c r="B31" s="57" t="s">
        <v>43</v>
      </c>
      <c r="C31" s="58">
        <f t="shared" ref="C31:L31" si="5">C11+C24+C19</f>
        <v>423769.42</v>
      </c>
      <c r="D31" s="58">
        <f t="shared" si="5"/>
        <v>2737216.3</v>
      </c>
      <c r="E31" s="58">
        <f t="shared" si="5"/>
        <v>587066.75</v>
      </c>
      <c r="F31" s="58">
        <f t="shared" si="5"/>
        <v>2732339.21</v>
      </c>
      <c r="G31" s="58">
        <f t="shared" si="5"/>
        <v>163297.33000000002</v>
      </c>
      <c r="H31" s="58">
        <f t="shared" si="5"/>
        <v>-4877.0899999998728</v>
      </c>
      <c r="I31" s="58">
        <f t="shared" si="5"/>
        <v>0</v>
      </c>
      <c r="J31" s="58">
        <f t="shared" si="5"/>
        <v>0</v>
      </c>
      <c r="K31" s="58">
        <f t="shared" si="5"/>
        <v>0</v>
      </c>
      <c r="L31" s="58">
        <f t="shared" si="5"/>
        <v>0</v>
      </c>
    </row>
    <row r="32" spans="1:13">
      <c r="B32" s="57" t="s">
        <v>44</v>
      </c>
      <c r="C32" s="58">
        <f>C4+C5+C23+C25</f>
        <v>1100539.6599999999</v>
      </c>
      <c r="D32" s="58">
        <f t="shared" ref="D32:L32" si="6">D4+D5+D23+D25</f>
        <v>8633386.0099999998</v>
      </c>
      <c r="E32" s="58">
        <f t="shared" si="6"/>
        <v>1638177.2799999998</v>
      </c>
      <c r="F32" s="58">
        <f t="shared" si="6"/>
        <v>8137236.1500000004</v>
      </c>
      <c r="G32" s="58">
        <f t="shared" si="6"/>
        <v>537637.62</v>
      </c>
      <c r="H32" s="58">
        <f t="shared" si="6"/>
        <v>-496149.85999999946</v>
      </c>
      <c r="I32" s="58">
        <f t="shared" si="6"/>
        <v>0</v>
      </c>
      <c r="J32" s="58">
        <f t="shared" si="6"/>
        <v>0</v>
      </c>
      <c r="K32" s="58">
        <f t="shared" si="6"/>
        <v>0</v>
      </c>
      <c r="L32" s="58">
        <f t="shared" si="6"/>
        <v>0</v>
      </c>
    </row>
    <row r="33" spans="2:12">
      <c r="B33" s="59" t="s">
        <v>39</v>
      </c>
      <c r="C33" s="58">
        <f t="shared" ref="C33:L33" si="7">C3+C7+C8+C9+C10+C15+C16+C17+C20</f>
        <v>796038.83000000007</v>
      </c>
      <c r="D33" s="58">
        <f t="shared" si="7"/>
        <v>3796165.85</v>
      </c>
      <c r="E33" s="58">
        <f t="shared" si="7"/>
        <v>748175.58</v>
      </c>
      <c r="F33" s="58">
        <f t="shared" si="7"/>
        <v>3475816.21</v>
      </c>
      <c r="G33" s="58">
        <f t="shared" si="7"/>
        <v>-47863.250000000051</v>
      </c>
      <c r="H33" s="58">
        <f t="shared" si="7"/>
        <v>-320349.6399999999</v>
      </c>
      <c r="I33" s="58">
        <f t="shared" si="7"/>
        <v>0</v>
      </c>
      <c r="J33" s="58">
        <f t="shared" si="7"/>
        <v>0</v>
      </c>
      <c r="K33" s="58">
        <f t="shared" si="7"/>
        <v>0</v>
      </c>
      <c r="L33" s="58">
        <f t="shared" si="7"/>
        <v>0</v>
      </c>
    </row>
    <row r="35" spans="2:12">
      <c r="C35">
        <f>601727.24+2473936.14</f>
        <v>3075663.38</v>
      </c>
      <c r="E35">
        <f>822783.32+2814715.54</f>
        <v>3637498.86</v>
      </c>
    </row>
    <row r="37" spans="2:12">
      <c r="C37" s="54">
        <f>C28-C35</f>
        <v>0</v>
      </c>
    </row>
    <row r="41" spans="2:12">
      <c r="K41" s="6"/>
      <c r="L41" s="6"/>
    </row>
  </sheetData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M41"/>
  <sheetViews>
    <sheetView workbookViewId="0">
      <selection activeCell="B38" sqref="B38"/>
    </sheetView>
  </sheetViews>
  <sheetFormatPr defaultRowHeight="12.75"/>
  <cols>
    <col min="1" max="1" width="3.28515625" style="5" customWidth="1"/>
    <col min="2" max="2" width="28.7109375" customWidth="1"/>
    <col min="3" max="3" width="13.28515625" customWidth="1"/>
    <col min="4" max="4" width="12.28515625" customWidth="1"/>
    <col min="5" max="5" width="15.7109375" customWidth="1"/>
    <col min="6" max="6" width="12.42578125" customWidth="1"/>
    <col min="7" max="7" width="11.42578125" customWidth="1"/>
    <col min="8" max="8" width="11.5703125" customWidth="1"/>
    <col min="9" max="9" width="6.7109375" customWidth="1"/>
    <col min="10" max="10" width="13.42578125" customWidth="1"/>
    <col min="11" max="11" width="6" customWidth="1"/>
    <col min="12" max="12" width="12" customWidth="1"/>
    <col min="13" max="13" width="11.42578125" customWidth="1"/>
  </cols>
  <sheetData>
    <row r="1" spans="1:13" ht="31.5" customHeight="1">
      <c r="B1" s="6" t="s">
        <v>53</v>
      </c>
      <c r="D1" s="63"/>
    </row>
    <row r="2" spans="1:13" s="40" customFormat="1" ht="35.25" customHeight="1">
      <c r="A2" s="35" t="s">
        <v>0</v>
      </c>
      <c r="B2" s="36" t="s">
        <v>1</v>
      </c>
      <c r="C2" s="37" t="s">
        <v>2</v>
      </c>
      <c r="D2" s="38" t="s">
        <v>3</v>
      </c>
      <c r="E2" s="36" t="s">
        <v>4</v>
      </c>
      <c r="F2" s="38" t="s">
        <v>5</v>
      </c>
      <c r="G2" s="38" t="s">
        <v>6</v>
      </c>
      <c r="H2" s="38" t="s">
        <v>7</v>
      </c>
      <c r="I2" s="36" t="s">
        <v>8</v>
      </c>
      <c r="J2" s="38" t="s">
        <v>9</v>
      </c>
      <c r="K2" s="36" t="s">
        <v>10</v>
      </c>
      <c r="L2" s="38" t="s">
        <v>11</v>
      </c>
      <c r="M2" s="39" t="s">
        <v>17</v>
      </c>
    </row>
    <row r="3" spans="1:13">
      <c r="A3" s="1">
        <v>1</v>
      </c>
      <c r="B3" s="41" t="str">
        <f>май!B3</f>
        <v>Содержание общ.имущ.дома</v>
      </c>
      <c r="C3" s="3">
        <f>66951.24+309219.23</f>
        <v>376170.47</v>
      </c>
      <c r="D3" s="12">
        <f>C3+май!D3</f>
        <v>2159485.7799999998</v>
      </c>
      <c r="E3" s="4">
        <f>59003.23+303142.93</f>
        <v>362146.16</v>
      </c>
      <c r="F3" s="12">
        <f>E3+май!F3</f>
        <v>1990780.59</v>
      </c>
      <c r="G3" s="12">
        <f>E3-C3</f>
        <v>-14024.309999999998</v>
      </c>
      <c r="H3" s="14">
        <f>F3-D3</f>
        <v>-168705.18999999971</v>
      </c>
      <c r="I3" s="4"/>
      <c r="J3" s="14">
        <f>I3+май!J3</f>
        <v>0</v>
      </c>
      <c r="K3" s="3"/>
      <c r="L3" s="12">
        <f>K3+май!L3</f>
        <v>0</v>
      </c>
      <c r="M3" s="14">
        <f>J3-L3</f>
        <v>0</v>
      </c>
    </row>
    <row r="4" spans="1:13">
      <c r="A4" s="1">
        <f>A3+1</f>
        <v>2</v>
      </c>
      <c r="B4" s="41" t="str">
        <f>май!B4</f>
        <v>Отопление</v>
      </c>
      <c r="C4" s="3">
        <v>0</v>
      </c>
      <c r="D4" s="12">
        <f>C4+май!D4</f>
        <v>5804998.6699999999</v>
      </c>
      <c r="E4" s="4">
        <f>107614.39+503321.83</f>
        <v>610936.22</v>
      </c>
      <c r="F4" s="12">
        <f>E4+май!F4</f>
        <v>6232543.8300000001</v>
      </c>
      <c r="G4" s="12">
        <f t="shared" ref="G4:H27" si="0">E4-C4</f>
        <v>610936.22</v>
      </c>
      <c r="H4" s="14">
        <f t="shared" si="0"/>
        <v>427545.16000000015</v>
      </c>
      <c r="I4" s="4"/>
      <c r="J4" s="14">
        <f>I4+май!J4</f>
        <v>0</v>
      </c>
      <c r="K4" s="3"/>
      <c r="L4" s="12">
        <f>K4+май!L4</f>
        <v>0</v>
      </c>
      <c r="M4" s="14">
        <f t="shared" ref="M4:M27" si="1">J4-L4</f>
        <v>0</v>
      </c>
    </row>
    <row r="5" spans="1:13">
      <c r="A5" s="1">
        <f t="shared" ref="A5:A27" si="2">A4+1</f>
        <v>3</v>
      </c>
      <c r="B5" s="61" t="str">
        <f>май!B5</f>
        <v>Горячее водоснабжение</v>
      </c>
      <c r="C5" s="3">
        <f>119302.13+451090.29</f>
        <v>570392.41999999993</v>
      </c>
      <c r="D5" s="12">
        <f>C5+май!D5</f>
        <v>3317355.58</v>
      </c>
      <c r="E5" s="4">
        <f>121484.23+429507.79</f>
        <v>550992.02</v>
      </c>
      <c r="F5" s="12">
        <f>E5+май!F5</f>
        <v>2984350.0500000003</v>
      </c>
      <c r="G5" s="12">
        <f t="shared" si="0"/>
        <v>-19400.399999999907</v>
      </c>
      <c r="H5" s="14">
        <f t="shared" si="0"/>
        <v>-333005.5299999998</v>
      </c>
      <c r="I5" s="4"/>
      <c r="J5" s="14">
        <f>I5+май!J5</f>
        <v>0</v>
      </c>
      <c r="K5" s="3"/>
      <c r="L5" s="12">
        <f>K5+май!L5</f>
        <v>0</v>
      </c>
      <c r="M5" s="14">
        <f t="shared" si="1"/>
        <v>0</v>
      </c>
    </row>
    <row r="6" spans="1:13">
      <c r="A6" s="1">
        <f t="shared" si="2"/>
        <v>4</v>
      </c>
      <c r="B6" s="41" t="str">
        <f>май!B6</f>
        <v>Газ</v>
      </c>
      <c r="C6" s="3">
        <f>10266.17+7699.61</f>
        <v>17965.78</v>
      </c>
      <c r="D6" s="12">
        <f>C6+май!D6</f>
        <v>104265.06</v>
      </c>
      <c r="E6" s="4">
        <f>4725.21+5776.7</f>
        <v>10501.91</v>
      </c>
      <c r="F6" s="12">
        <f>E6+май!F6</f>
        <v>64073.58</v>
      </c>
      <c r="G6" s="12">
        <f t="shared" si="0"/>
        <v>-7463.869999999999</v>
      </c>
      <c r="H6" s="14">
        <f t="shared" si="0"/>
        <v>-40191.479999999996</v>
      </c>
      <c r="I6" s="4"/>
      <c r="J6" s="14">
        <f>I6+май!J6</f>
        <v>0</v>
      </c>
      <c r="K6" s="3"/>
      <c r="L6" s="12">
        <f>K6+май!L6</f>
        <v>0</v>
      </c>
      <c r="M6" s="14">
        <f t="shared" si="1"/>
        <v>0</v>
      </c>
    </row>
    <row r="7" spans="1:13">
      <c r="A7" s="1">
        <f t="shared" si="2"/>
        <v>5</v>
      </c>
      <c r="B7" s="41" t="str">
        <f>май!B7</f>
        <v>Со.и ремонт АППЗ</v>
      </c>
      <c r="C7" s="3">
        <f>834.84+4593.01</f>
        <v>5427.85</v>
      </c>
      <c r="D7" s="12">
        <f>C7+май!D7</f>
        <v>31665.96</v>
      </c>
      <c r="E7" s="4">
        <f>823.41+4457.6</f>
        <v>5281.01</v>
      </c>
      <c r="F7" s="12">
        <f>E7+май!F7</f>
        <v>29933.18</v>
      </c>
      <c r="G7" s="12">
        <f t="shared" si="0"/>
        <v>-146.84000000000015</v>
      </c>
      <c r="H7" s="14">
        <f t="shared" si="0"/>
        <v>-1732.7799999999988</v>
      </c>
      <c r="I7" s="4"/>
      <c r="J7" s="14">
        <f>I7+май!J7</f>
        <v>0</v>
      </c>
      <c r="K7" s="3"/>
      <c r="L7" s="12">
        <f>K7+май!L7</f>
        <v>0</v>
      </c>
      <c r="M7" s="14">
        <f t="shared" si="1"/>
        <v>0</v>
      </c>
    </row>
    <row r="8" spans="1:13">
      <c r="A8" s="1">
        <f t="shared" si="2"/>
        <v>6</v>
      </c>
      <c r="B8" s="41" t="str">
        <f>май!B8</f>
        <v>Сод.и ремонт лифтов</v>
      </c>
      <c r="C8" s="3">
        <f>4982.88+26825.68</f>
        <v>31808.560000000001</v>
      </c>
      <c r="D8" s="12">
        <f>C8+май!D8</f>
        <v>204365.38</v>
      </c>
      <c r="E8" s="4">
        <f>5441.71+26986.21</f>
        <v>32427.919999999998</v>
      </c>
      <c r="F8" s="12">
        <f>E8+май!F8</f>
        <v>197352.59999999998</v>
      </c>
      <c r="G8" s="12">
        <f t="shared" si="0"/>
        <v>619.35999999999694</v>
      </c>
      <c r="H8" s="14">
        <f t="shared" si="0"/>
        <v>-7012.7800000000279</v>
      </c>
      <c r="I8" s="4"/>
      <c r="J8" s="14">
        <f>I8+май!J8</f>
        <v>0</v>
      </c>
      <c r="K8" s="3"/>
      <c r="L8" s="12">
        <f>K8+май!L8</f>
        <v>0</v>
      </c>
      <c r="M8" s="14">
        <f t="shared" si="1"/>
        <v>0</v>
      </c>
    </row>
    <row r="9" spans="1:13">
      <c r="A9" s="1">
        <f t="shared" si="2"/>
        <v>7</v>
      </c>
      <c r="B9" s="41" t="str">
        <f>май!B9</f>
        <v>Очистка мусоропроводов</v>
      </c>
      <c r="C9" s="3">
        <f>2694.2+14467.03</f>
        <v>17161.23</v>
      </c>
      <c r="D9" s="12">
        <f>C9+май!D9</f>
        <v>100402.48</v>
      </c>
      <c r="E9" s="4">
        <f>2635.8+13832.85</f>
        <v>16468.650000000001</v>
      </c>
      <c r="F9" s="12">
        <f>E9+май!F9</f>
        <v>94090.38</v>
      </c>
      <c r="G9" s="12">
        <f t="shared" si="0"/>
        <v>-692.57999999999811</v>
      </c>
      <c r="H9" s="14">
        <f t="shared" si="0"/>
        <v>-6312.0999999999913</v>
      </c>
      <c r="I9" s="4"/>
      <c r="J9" s="14">
        <f>I9+май!J9</f>
        <v>0</v>
      </c>
      <c r="K9" s="3"/>
      <c r="L9" s="12">
        <f>K9+май!L9</f>
        <v>0</v>
      </c>
      <c r="M9" s="14">
        <f t="shared" si="1"/>
        <v>0</v>
      </c>
    </row>
    <row r="10" spans="1:13">
      <c r="A10" s="1">
        <f t="shared" si="2"/>
        <v>8</v>
      </c>
      <c r="B10" s="41" t="str">
        <f>май!B10</f>
        <v>Уборка и сан.очистка зем.уч.</v>
      </c>
      <c r="C10" s="3">
        <f>10295.87+47577.6</f>
        <v>57873.47</v>
      </c>
      <c r="D10" s="12">
        <f>C10+май!D10</f>
        <v>332388.13</v>
      </c>
      <c r="E10" s="4">
        <f>9060.28+46488.18</f>
        <v>55548.46</v>
      </c>
      <c r="F10" s="12">
        <f>E10+май!F10</f>
        <v>304882.90999999997</v>
      </c>
      <c r="G10" s="12">
        <f t="shared" si="0"/>
        <v>-2325.010000000002</v>
      </c>
      <c r="H10" s="14">
        <f t="shared" si="0"/>
        <v>-27505.22000000003</v>
      </c>
      <c r="I10" s="4"/>
      <c r="J10" s="14">
        <f>I10+май!J10</f>
        <v>0</v>
      </c>
      <c r="K10" s="3"/>
      <c r="L10" s="12">
        <f>K10+май!L10</f>
        <v>0</v>
      </c>
      <c r="M10" s="14">
        <f t="shared" si="1"/>
        <v>0</v>
      </c>
    </row>
    <row r="11" spans="1:13" ht="14.25" customHeight="1">
      <c r="A11" s="1">
        <f t="shared" si="2"/>
        <v>9</v>
      </c>
      <c r="B11" s="41" t="str">
        <f>май!B11</f>
        <v>Электроснабжение (инд.потр)</v>
      </c>
      <c r="C11" s="3">
        <f>65273.43+258895.35</f>
        <v>324168.78000000003</v>
      </c>
      <c r="D11" s="12">
        <f>C11+май!D11</f>
        <v>1903827.97</v>
      </c>
      <c r="E11" s="4">
        <f>64687.73+259972.78</f>
        <v>324660.51</v>
      </c>
      <c r="F11" s="12">
        <f>E11+май!F11</f>
        <v>1792124.4200000002</v>
      </c>
      <c r="G11" s="12">
        <f t="shared" si="0"/>
        <v>491.72999999998137</v>
      </c>
      <c r="H11" s="14">
        <f t="shared" si="0"/>
        <v>-111703.54999999981</v>
      </c>
      <c r="I11" s="4"/>
      <c r="J11" s="14">
        <f>I11+май!J11</f>
        <v>0</v>
      </c>
      <c r="K11" s="3"/>
      <c r="L11" s="12">
        <f>K11+май!L11</f>
        <v>0</v>
      </c>
      <c r="M11" s="14">
        <f t="shared" si="1"/>
        <v>0</v>
      </c>
    </row>
    <row r="12" spans="1:13">
      <c r="A12" s="1">
        <f t="shared" si="2"/>
        <v>10</v>
      </c>
      <c r="B12" s="41" t="str">
        <f>май!B12</f>
        <v>Холодная вода</v>
      </c>
      <c r="C12" s="3">
        <f>62311.17+223726.45</f>
        <v>286037.62</v>
      </c>
      <c r="D12" s="12">
        <f>C12+май!D12</f>
        <v>1605466.2599999998</v>
      </c>
      <c r="E12" s="4">
        <f>58286.15+208443.01</f>
        <v>266729.16000000003</v>
      </c>
      <c r="F12" s="12">
        <f>E12+май!F12</f>
        <v>1401905.8399999999</v>
      </c>
      <c r="G12" s="12">
        <f t="shared" si="0"/>
        <v>-19308.459999999963</v>
      </c>
      <c r="H12" s="14">
        <f t="shared" si="0"/>
        <v>-203560.41999999993</v>
      </c>
      <c r="I12" s="4"/>
      <c r="J12" s="14">
        <f>I12+май!J12</f>
        <v>0</v>
      </c>
      <c r="K12" s="3"/>
      <c r="L12" s="12">
        <f>K12+май!L12</f>
        <v>0</v>
      </c>
      <c r="M12" s="14">
        <f t="shared" si="1"/>
        <v>0</v>
      </c>
    </row>
    <row r="13" spans="1:13">
      <c r="A13" s="1">
        <f t="shared" si="2"/>
        <v>11</v>
      </c>
      <c r="B13" s="61" t="str">
        <f>май!B13</f>
        <v>Канализирование х. воды</v>
      </c>
      <c r="C13" s="3">
        <v>0</v>
      </c>
      <c r="D13" s="12">
        <f>C13+май!D13</f>
        <v>-2210.14</v>
      </c>
      <c r="E13" s="4">
        <f>352.38+18.07</f>
        <v>370.45</v>
      </c>
      <c r="F13" s="12">
        <f>E13+май!F13</f>
        <v>3058.2999999999997</v>
      </c>
      <c r="G13" s="12">
        <f t="shared" si="0"/>
        <v>370.45</v>
      </c>
      <c r="H13" s="14">
        <f t="shared" si="0"/>
        <v>5268.44</v>
      </c>
      <c r="I13" s="4"/>
      <c r="J13" s="14">
        <f>I13+май!J13</f>
        <v>0</v>
      </c>
      <c r="K13" s="3"/>
      <c r="L13" s="12">
        <f>K13+май!L13</f>
        <v>0</v>
      </c>
      <c r="M13" s="14">
        <f t="shared" si="1"/>
        <v>0</v>
      </c>
    </row>
    <row r="14" spans="1:13">
      <c r="A14" s="1">
        <f t="shared" si="2"/>
        <v>12</v>
      </c>
      <c r="B14" s="41" t="str">
        <f>май!B14</f>
        <v>Канализирование г. воды</v>
      </c>
      <c r="C14" s="3">
        <v>0</v>
      </c>
      <c r="D14" s="12">
        <f>C14+май!D14</f>
        <v>-1504.92</v>
      </c>
      <c r="E14" s="4">
        <f>214.86+12.32</f>
        <v>227.18</v>
      </c>
      <c r="F14" s="12">
        <f>E14+май!F14</f>
        <v>1607.1200000000001</v>
      </c>
      <c r="G14" s="12">
        <f t="shared" si="0"/>
        <v>227.18</v>
      </c>
      <c r="H14" s="14">
        <f t="shared" si="0"/>
        <v>3112.04</v>
      </c>
      <c r="I14" s="4"/>
      <c r="J14" s="14">
        <f>I14+май!J14</f>
        <v>0</v>
      </c>
      <c r="K14" s="3"/>
      <c r="L14" s="12">
        <f>K14+май!L14</f>
        <v>0</v>
      </c>
      <c r="M14" s="14">
        <f t="shared" si="1"/>
        <v>0</v>
      </c>
    </row>
    <row r="15" spans="1:13">
      <c r="A15" s="1">
        <f t="shared" si="2"/>
        <v>13</v>
      </c>
      <c r="B15" s="41" t="str">
        <f>май!B15</f>
        <v>Тек.рем.общ.имущ.дома</v>
      </c>
      <c r="C15" s="3">
        <f>34938.37+161451.07</f>
        <v>196389.44</v>
      </c>
      <c r="D15" s="12">
        <f>C15+май!D15</f>
        <v>1126595.32</v>
      </c>
      <c r="E15" s="4">
        <f>30857.08+159907.94</f>
        <v>190765.02000000002</v>
      </c>
      <c r="F15" s="12">
        <f>E15+май!F15</f>
        <v>1045650.71</v>
      </c>
      <c r="G15" s="12">
        <f t="shared" si="0"/>
        <v>-5624.4199999999837</v>
      </c>
      <c r="H15" s="14">
        <f t="shared" si="0"/>
        <v>-80944.610000000102</v>
      </c>
      <c r="I15" s="4"/>
      <c r="J15" s="14">
        <f>I15+май!J15</f>
        <v>0</v>
      </c>
      <c r="K15" s="3"/>
      <c r="L15" s="12">
        <f>K15+май!L15</f>
        <v>0</v>
      </c>
      <c r="M15" s="14">
        <f t="shared" si="1"/>
        <v>0</v>
      </c>
    </row>
    <row r="16" spans="1:13">
      <c r="A16" s="1">
        <f t="shared" si="2"/>
        <v>14</v>
      </c>
      <c r="B16" s="41" t="str">
        <f>май!B16</f>
        <v>Сод.и тек.рем.в/дом.газосн.</v>
      </c>
      <c r="C16" s="3">
        <f>2176.61+10259.14</f>
        <v>12435.75</v>
      </c>
      <c r="D16" s="12">
        <f>C16+май!D16</f>
        <v>70234.13</v>
      </c>
      <c r="E16" s="4">
        <f>1579.48+10243.39</f>
        <v>11822.869999999999</v>
      </c>
      <c r="F16" s="12">
        <f>E16+май!F16</f>
        <v>64627.87999999999</v>
      </c>
      <c r="G16" s="12">
        <f t="shared" si="0"/>
        <v>-612.88000000000102</v>
      </c>
      <c r="H16" s="14">
        <f t="shared" si="0"/>
        <v>-5606.2500000000146</v>
      </c>
      <c r="I16" s="4"/>
      <c r="J16" s="14">
        <f>I16+май!J16</f>
        <v>0</v>
      </c>
      <c r="K16" s="3"/>
      <c r="L16" s="12">
        <f>K16+май!L16</f>
        <v>0</v>
      </c>
      <c r="M16" s="14">
        <f t="shared" si="1"/>
        <v>0</v>
      </c>
    </row>
    <row r="17" spans="1:13">
      <c r="A17" s="1">
        <f t="shared" si="2"/>
        <v>15</v>
      </c>
      <c r="B17" s="41" t="str">
        <f>май!B17</f>
        <v>Управление многокв.домом</v>
      </c>
      <c r="C17" s="3">
        <f>14400.45+66558.06</f>
        <v>80958.509999999995</v>
      </c>
      <c r="D17" s="12">
        <f>C17+май!D17</f>
        <v>465497.09</v>
      </c>
      <c r="E17" s="4">
        <f>12545.22+64433.92</f>
        <v>76979.14</v>
      </c>
      <c r="F17" s="12">
        <f>E17+май!F17</f>
        <v>421659.24</v>
      </c>
      <c r="G17" s="12">
        <f t="shared" si="0"/>
        <v>-3979.3699999999953</v>
      </c>
      <c r="H17" s="14">
        <f t="shared" si="0"/>
        <v>-43837.850000000035</v>
      </c>
      <c r="I17" s="4"/>
      <c r="J17" s="14">
        <f>I17+май!J17</f>
        <v>0</v>
      </c>
      <c r="K17" s="3"/>
      <c r="L17" s="12">
        <f>K17+май!L17</f>
        <v>0</v>
      </c>
      <c r="M17" s="14">
        <f t="shared" si="1"/>
        <v>0</v>
      </c>
    </row>
    <row r="18" spans="1:13">
      <c r="A18" s="1">
        <f t="shared" si="2"/>
        <v>16</v>
      </c>
      <c r="B18" s="41" t="str">
        <f>май!B18</f>
        <v>Водоотведение (кв)</v>
      </c>
      <c r="C18" s="3">
        <f>95465.41+349085.58</f>
        <v>444550.99</v>
      </c>
      <c r="D18" s="12">
        <f>C18+май!D18</f>
        <v>2528430.12</v>
      </c>
      <c r="E18" s="4">
        <f>91634.82+329948.28</f>
        <v>421583.10000000003</v>
      </c>
      <c r="F18" s="12">
        <f>E18+май!F18</f>
        <v>2237936.0499999998</v>
      </c>
      <c r="G18" s="12">
        <f t="shared" si="0"/>
        <v>-22967.889999999956</v>
      </c>
      <c r="H18" s="14">
        <f t="shared" si="0"/>
        <v>-290494.0700000003</v>
      </c>
      <c r="I18" s="4"/>
      <c r="J18" s="14">
        <f>I18+май!J18</f>
        <v>0</v>
      </c>
      <c r="K18" s="3"/>
      <c r="L18" s="12">
        <f>K18+май!L18</f>
        <v>0</v>
      </c>
      <c r="M18" s="14">
        <f t="shared" si="1"/>
        <v>0</v>
      </c>
    </row>
    <row r="19" spans="1:13" ht="15.75" customHeight="1">
      <c r="A19" s="1">
        <f t="shared" si="2"/>
        <v>17</v>
      </c>
      <c r="B19" s="41" t="str">
        <f>май!B19</f>
        <v>Электроснабж.на общед.нужды</v>
      </c>
      <c r="C19" s="3">
        <f>1096.78+5188.73</f>
        <v>6285.5099999999993</v>
      </c>
      <c r="D19" s="12">
        <f>C19+май!D19</f>
        <v>41878.350000000006</v>
      </c>
      <c r="E19" s="4">
        <f>1349.66+5536.4</f>
        <v>6886.0599999999995</v>
      </c>
      <c r="F19" s="12">
        <f>E19+май!F19</f>
        <v>39644.42</v>
      </c>
      <c r="G19" s="12">
        <f t="shared" si="0"/>
        <v>600.55000000000018</v>
      </c>
      <c r="H19" s="14">
        <f t="shared" si="0"/>
        <v>-2233.9300000000076</v>
      </c>
      <c r="I19" s="4"/>
      <c r="J19" s="14">
        <f>I19+май!J19</f>
        <v>0</v>
      </c>
      <c r="K19" s="3"/>
      <c r="L19" s="12">
        <f>K19+май!L19</f>
        <v>0</v>
      </c>
      <c r="M19" s="14">
        <f t="shared" si="1"/>
        <v>0</v>
      </c>
    </row>
    <row r="20" spans="1:13">
      <c r="A20" s="1">
        <f t="shared" si="2"/>
        <v>18</v>
      </c>
      <c r="B20" s="41" t="str">
        <f>май!B20</f>
        <v>Эксплуатация общед. ПУ</v>
      </c>
      <c r="C20" s="3">
        <f>2819.65+14993.9</f>
        <v>17813.55</v>
      </c>
      <c r="D20" s="12">
        <f>C20+май!D20</f>
        <v>101570.41</v>
      </c>
      <c r="E20" s="4">
        <f>2423.82+15055.76</f>
        <v>17479.580000000002</v>
      </c>
      <c r="F20" s="12">
        <f>E20+май!F20</f>
        <v>95757.53</v>
      </c>
      <c r="G20" s="12">
        <f t="shared" si="0"/>
        <v>-333.96999999999753</v>
      </c>
      <c r="H20" s="14">
        <f t="shared" si="0"/>
        <v>-5812.8800000000047</v>
      </c>
      <c r="I20" s="4"/>
      <c r="J20" s="14">
        <f>I20+май!J20</f>
        <v>0</v>
      </c>
      <c r="K20" s="3"/>
      <c r="L20" s="12">
        <f>K20+май!L20</f>
        <v>0</v>
      </c>
      <c r="M20" s="14">
        <f t="shared" si="1"/>
        <v>0</v>
      </c>
    </row>
    <row r="21" spans="1:13">
      <c r="A21" s="1">
        <f t="shared" si="2"/>
        <v>19</v>
      </c>
      <c r="B21" s="41" t="str">
        <f>май!B21</f>
        <v>Хол.водоснабж.(о/д нужды)</v>
      </c>
      <c r="C21" s="3">
        <f>1079.06+5599.98</f>
        <v>6679.0399999999991</v>
      </c>
      <c r="D21" s="12">
        <f>C21+май!D21</f>
        <v>38274.340000000004</v>
      </c>
      <c r="E21" s="4">
        <f>1159.5+5556.14</f>
        <v>6715.64</v>
      </c>
      <c r="F21" s="12">
        <f>E21+май!F21</f>
        <v>40522.800000000003</v>
      </c>
      <c r="G21" s="12">
        <f t="shared" si="0"/>
        <v>36.600000000001273</v>
      </c>
      <c r="H21" s="14">
        <f t="shared" si="0"/>
        <v>2248.4599999999991</v>
      </c>
      <c r="I21" s="4"/>
      <c r="J21" s="14">
        <f>I21+май!J21</f>
        <v>0</v>
      </c>
      <c r="K21" s="3"/>
      <c r="L21" s="12">
        <f>K21+май!L21</f>
        <v>0</v>
      </c>
      <c r="M21" s="14">
        <f t="shared" si="1"/>
        <v>0</v>
      </c>
    </row>
    <row r="22" spans="1:13">
      <c r="A22" s="1">
        <f t="shared" si="2"/>
        <v>20</v>
      </c>
      <c r="B22" s="41" t="str">
        <f>май!B22</f>
        <v>Водоотведение(о/д нужды)</v>
      </c>
      <c r="C22" s="3">
        <v>0</v>
      </c>
      <c r="D22" s="12">
        <f>C22+май!D22</f>
        <v>-190.85</v>
      </c>
      <c r="E22" s="4">
        <v>-10.4</v>
      </c>
      <c r="F22" s="12">
        <f>E22+май!F22</f>
        <v>-326.04999999999995</v>
      </c>
      <c r="G22" s="12">
        <f t="shared" si="0"/>
        <v>-10.4</v>
      </c>
      <c r="H22" s="14">
        <f t="shared" si="0"/>
        <v>-135.19999999999996</v>
      </c>
      <c r="I22" s="4"/>
      <c r="J22" s="14">
        <f>I22+май!J22</f>
        <v>0</v>
      </c>
      <c r="K22" s="3"/>
      <c r="L22" s="12">
        <f>K22+май!L22</f>
        <v>0</v>
      </c>
      <c r="M22" s="14">
        <f t="shared" si="1"/>
        <v>0</v>
      </c>
    </row>
    <row r="23" spans="1:13">
      <c r="A23" s="1">
        <f t="shared" si="2"/>
        <v>21</v>
      </c>
      <c r="B23" s="41" t="str">
        <f>май!B23</f>
        <v>Отопление (о/д нужды)</v>
      </c>
      <c r="C23" s="3">
        <v>0</v>
      </c>
      <c r="D23" s="12">
        <f>C23+май!D23</f>
        <v>-848.48</v>
      </c>
      <c r="E23" s="4">
        <v>308.45999999999998</v>
      </c>
      <c r="F23" s="12">
        <f>E23+май!F23</f>
        <v>1363.3700000000001</v>
      </c>
      <c r="G23" s="12">
        <f t="shared" si="0"/>
        <v>308.45999999999998</v>
      </c>
      <c r="H23" s="14">
        <f t="shared" si="0"/>
        <v>2211.8500000000004</v>
      </c>
      <c r="I23" s="4"/>
      <c r="J23" s="14">
        <f>I23+май!J23</f>
        <v>0</v>
      </c>
      <c r="K23" s="3"/>
      <c r="L23" s="12">
        <f>K23+май!L23</f>
        <v>0</v>
      </c>
      <c r="M23" s="14">
        <f t="shared" si="1"/>
        <v>0</v>
      </c>
    </row>
    <row r="24" spans="1:13" ht="13.5" customHeight="1">
      <c r="A24" s="1">
        <f t="shared" si="2"/>
        <v>22</v>
      </c>
      <c r="B24" s="41" t="str">
        <f>май!B24</f>
        <v>Электроснабжение (общед.н)</v>
      </c>
      <c r="C24" s="62">
        <f>20737.42+119136.08</f>
        <v>139873.5</v>
      </c>
      <c r="D24" s="12">
        <f>C24+май!D24</f>
        <v>1261837.77</v>
      </c>
      <c r="E24" s="4">
        <f>18656.59+121275.58</f>
        <v>139932.17000000001</v>
      </c>
      <c r="F24" s="12">
        <f>E24+май!F24</f>
        <v>1372049.1099999999</v>
      </c>
      <c r="G24" s="12">
        <f t="shared" si="0"/>
        <v>58.670000000012806</v>
      </c>
      <c r="H24" s="14">
        <f t="shared" si="0"/>
        <v>110211.33999999985</v>
      </c>
      <c r="I24" s="4"/>
      <c r="J24" s="14">
        <f>I24+май!J24</f>
        <v>0</v>
      </c>
      <c r="K24" s="4"/>
      <c r="L24" s="12">
        <f>K24+май!L24</f>
        <v>0</v>
      </c>
      <c r="M24" s="14">
        <f t="shared" si="1"/>
        <v>0</v>
      </c>
    </row>
    <row r="25" spans="1:13">
      <c r="A25" s="1">
        <f t="shared" si="2"/>
        <v>23</v>
      </c>
      <c r="B25" s="41" t="str">
        <f>май!B25</f>
        <v>Гор.водоснабж.(о/д нужды)</v>
      </c>
      <c r="C25" s="3">
        <f>2199.77+11175.08+8474.13</f>
        <v>21848.98</v>
      </c>
      <c r="D25" s="12">
        <f>C25+май!D25</f>
        <v>104121.64</v>
      </c>
      <c r="E25" s="4">
        <f>2056.2+10722.16+9892.67</f>
        <v>22671.03</v>
      </c>
      <c r="F25" s="12">
        <f>E25+май!F25</f>
        <v>103886.62999999999</v>
      </c>
      <c r="G25" s="12">
        <f t="shared" si="0"/>
        <v>822.04999999999927</v>
      </c>
      <c r="H25" s="14">
        <f t="shared" si="0"/>
        <v>-235.01000000000931</v>
      </c>
      <c r="I25" s="4"/>
      <c r="J25" s="14">
        <f>I25+май!J25</f>
        <v>0</v>
      </c>
      <c r="K25" s="3"/>
      <c r="L25" s="12">
        <f>K25+май!L25</f>
        <v>0</v>
      </c>
      <c r="M25" s="14">
        <f t="shared" si="1"/>
        <v>0</v>
      </c>
    </row>
    <row r="26" spans="1:13">
      <c r="A26" s="1">
        <f t="shared" si="2"/>
        <v>24</v>
      </c>
      <c r="B26" s="41" t="str">
        <f>май!B26</f>
        <v>Капитальный ремонт</v>
      </c>
      <c r="C26" s="3">
        <v>0</v>
      </c>
      <c r="D26" s="12">
        <f>C26+май!D26</f>
        <v>0</v>
      </c>
      <c r="E26" s="4">
        <v>0</v>
      </c>
      <c r="F26" s="12">
        <f>E26+май!F26</f>
        <v>0</v>
      </c>
      <c r="G26" s="12">
        <f t="shared" si="0"/>
        <v>0</v>
      </c>
      <c r="H26" s="14">
        <f t="shared" si="0"/>
        <v>0</v>
      </c>
      <c r="I26" s="4"/>
      <c r="J26" s="14">
        <f>I26+май!J26</f>
        <v>0</v>
      </c>
      <c r="K26" s="3"/>
      <c r="L26" s="12">
        <f>K26+май!L26</f>
        <v>0</v>
      </c>
      <c r="M26" s="14">
        <f t="shared" si="1"/>
        <v>0</v>
      </c>
    </row>
    <row r="27" spans="1:13">
      <c r="A27" s="1">
        <f t="shared" si="2"/>
        <v>25</v>
      </c>
      <c r="B27" s="41" t="str">
        <f>май!B27</f>
        <v>Уборка лестн. Кл</v>
      </c>
      <c r="C27" s="3">
        <v>0</v>
      </c>
      <c r="D27" s="12">
        <f>C27+май!D27</f>
        <v>4670.8500000000004</v>
      </c>
      <c r="E27" s="4">
        <v>0</v>
      </c>
      <c r="F27" s="12">
        <f>E27+май!F27</f>
        <v>2749.94</v>
      </c>
      <c r="G27" s="12">
        <f t="shared" si="0"/>
        <v>0</v>
      </c>
      <c r="H27" s="14">
        <f t="shared" si="0"/>
        <v>-1920.9100000000003</v>
      </c>
      <c r="I27" s="4"/>
      <c r="J27" s="14">
        <f>I27+май!J27</f>
        <v>0</v>
      </c>
      <c r="K27" s="3"/>
      <c r="L27" s="12">
        <f>K27+май!L27</f>
        <v>0</v>
      </c>
      <c r="M27" s="14">
        <f t="shared" si="1"/>
        <v>0</v>
      </c>
    </row>
    <row r="28" spans="1:13" s="6" customFormat="1">
      <c r="A28" s="10"/>
      <c r="B28" s="17" t="s">
        <v>12</v>
      </c>
      <c r="C28" s="13">
        <f t="shared" ref="C28:L28" si="3">SUM(C3:C27)</f>
        <v>2613841.4499999997</v>
      </c>
      <c r="D28" s="13">
        <f t="shared" si="3"/>
        <v>21302576.900000006</v>
      </c>
      <c r="E28" s="15">
        <f t="shared" si="3"/>
        <v>3131422.3200000003</v>
      </c>
      <c r="F28" s="13">
        <f t="shared" si="3"/>
        <v>20522224.430000007</v>
      </c>
      <c r="G28" s="13">
        <f t="shared" si="3"/>
        <v>517580.87000000005</v>
      </c>
      <c r="H28" s="15">
        <f t="shared" si="3"/>
        <v>-780352.47</v>
      </c>
      <c r="I28" s="15">
        <f t="shared" si="3"/>
        <v>0</v>
      </c>
      <c r="J28" s="15">
        <f t="shared" si="3"/>
        <v>0</v>
      </c>
      <c r="K28" s="13">
        <f t="shared" si="3"/>
        <v>0</v>
      </c>
      <c r="L28" s="13">
        <f t="shared" si="3"/>
        <v>0</v>
      </c>
      <c r="M28" s="15">
        <f>SUM(M3:M27)</f>
        <v>0</v>
      </c>
    </row>
    <row r="30" spans="1:13" ht="15.75" customHeight="1">
      <c r="B30" s="57" t="s">
        <v>42</v>
      </c>
      <c r="C30" s="58">
        <f>C12+C13+C14+C18+C21+C22</f>
        <v>737267.65</v>
      </c>
      <c r="D30" s="58">
        <f t="shared" ref="D30:L30" si="4">D12+D13+D14+D18+D21+D22</f>
        <v>4168264.81</v>
      </c>
      <c r="E30" s="58">
        <f t="shared" si="4"/>
        <v>695615.13000000012</v>
      </c>
      <c r="F30" s="58">
        <f t="shared" si="4"/>
        <v>3684704.0599999996</v>
      </c>
      <c r="G30" s="58">
        <f t="shared" si="4"/>
        <v>-41652.519999999917</v>
      </c>
      <c r="H30" s="58">
        <f t="shared" si="4"/>
        <v>-483560.75000000023</v>
      </c>
      <c r="I30" s="58">
        <f t="shared" si="4"/>
        <v>0</v>
      </c>
      <c r="J30" s="58">
        <f t="shared" si="4"/>
        <v>0</v>
      </c>
      <c r="K30" s="58">
        <f t="shared" si="4"/>
        <v>0</v>
      </c>
      <c r="L30" s="58">
        <f t="shared" si="4"/>
        <v>0</v>
      </c>
    </row>
    <row r="31" spans="1:13" ht="12" customHeight="1">
      <c r="B31" s="57" t="s">
        <v>43</v>
      </c>
      <c r="C31" s="58">
        <f t="shared" ref="C31:L31" si="5">C11+C24+C19</f>
        <v>470327.79000000004</v>
      </c>
      <c r="D31" s="58">
        <f t="shared" si="5"/>
        <v>3207544.0900000003</v>
      </c>
      <c r="E31" s="58">
        <f t="shared" si="5"/>
        <v>471478.74000000005</v>
      </c>
      <c r="F31" s="58">
        <f t="shared" si="5"/>
        <v>3203817.95</v>
      </c>
      <c r="G31" s="58">
        <f t="shared" si="5"/>
        <v>1150.9499999999944</v>
      </c>
      <c r="H31" s="58">
        <f t="shared" si="5"/>
        <v>-3726.1399999999703</v>
      </c>
      <c r="I31" s="58">
        <f t="shared" si="5"/>
        <v>0</v>
      </c>
      <c r="J31" s="58">
        <f t="shared" si="5"/>
        <v>0</v>
      </c>
      <c r="K31" s="58">
        <f t="shared" si="5"/>
        <v>0</v>
      </c>
      <c r="L31" s="58">
        <f t="shared" si="5"/>
        <v>0</v>
      </c>
    </row>
    <row r="32" spans="1:13" ht="12" customHeight="1">
      <c r="B32" s="57" t="s">
        <v>44</v>
      </c>
      <c r="C32" s="58">
        <f>C4+C5+C23+C25</f>
        <v>592241.39999999991</v>
      </c>
      <c r="D32" s="58">
        <f t="shared" ref="D32:L32" si="6">D4+D5+D23+D25</f>
        <v>9225627.4100000001</v>
      </c>
      <c r="E32" s="58">
        <f t="shared" si="6"/>
        <v>1184907.73</v>
      </c>
      <c r="F32" s="58">
        <f t="shared" si="6"/>
        <v>9322143.8800000008</v>
      </c>
      <c r="G32" s="58">
        <f t="shared" si="6"/>
        <v>592666.33000000007</v>
      </c>
      <c r="H32" s="58">
        <f t="shared" si="6"/>
        <v>96516.47000000035</v>
      </c>
      <c r="I32" s="58">
        <f t="shared" si="6"/>
        <v>0</v>
      </c>
      <c r="J32" s="58">
        <f t="shared" si="6"/>
        <v>0</v>
      </c>
      <c r="K32" s="58">
        <f t="shared" si="6"/>
        <v>0</v>
      </c>
      <c r="L32" s="58">
        <f t="shared" si="6"/>
        <v>0</v>
      </c>
    </row>
    <row r="33" spans="2:13">
      <c r="B33" s="55" t="s">
        <v>39</v>
      </c>
      <c r="C33" s="4">
        <f t="shared" ref="C33:L33" si="7">C3+C7+C8+C9+C10+C15+C16+C17+C20</f>
        <v>796038.83000000007</v>
      </c>
      <c r="D33" s="4">
        <f t="shared" si="7"/>
        <v>4592204.68</v>
      </c>
      <c r="E33" s="4">
        <f t="shared" si="7"/>
        <v>768918.80999999994</v>
      </c>
      <c r="F33" s="4">
        <f t="shared" si="7"/>
        <v>4244735.0200000005</v>
      </c>
      <c r="G33" s="4">
        <f t="shared" si="7"/>
        <v>-27120.019999999979</v>
      </c>
      <c r="H33" s="4">
        <f t="shared" si="7"/>
        <v>-347469.65999999992</v>
      </c>
      <c r="I33" s="4">
        <f t="shared" si="7"/>
        <v>0</v>
      </c>
      <c r="J33" s="4">
        <f t="shared" si="7"/>
        <v>0</v>
      </c>
      <c r="K33" s="4">
        <f t="shared" si="7"/>
        <v>0</v>
      </c>
      <c r="L33" s="4">
        <f t="shared" si="7"/>
        <v>0</v>
      </c>
    </row>
    <row r="36" spans="2:13">
      <c r="C36">
        <f>517825.45+2096016</f>
        <v>2613841.4500000002</v>
      </c>
      <c r="E36">
        <f>596889.81+2534532.51</f>
        <v>3131422.32</v>
      </c>
    </row>
    <row r="38" spans="2:13">
      <c r="C38" s="54">
        <f>C28-C36</f>
        <v>0</v>
      </c>
    </row>
    <row r="41" spans="2:13">
      <c r="L41" s="6"/>
      <c r="M41" s="6"/>
    </row>
  </sheetData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1:M40"/>
  <sheetViews>
    <sheetView workbookViewId="0">
      <selection activeCell="I37" sqref="I37"/>
    </sheetView>
  </sheetViews>
  <sheetFormatPr defaultRowHeight="12.75"/>
  <cols>
    <col min="1" max="1" width="3.5703125" customWidth="1"/>
    <col min="2" max="2" width="29.85546875" customWidth="1"/>
    <col min="3" max="3" width="11.140625" customWidth="1"/>
    <col min="4" max="4" width="13.28515625" customWidth="1"/>
    <col min="5" max="5" width="15.140625" customWidth="1"/>
    <col min="6" max="6" width="15" customWidth="1"/>
    <col min="7" max="7" width="13.85546875" customWidth="1"/>
    <col min="8" max="8" width="12.140625" customWidth="1"/>
    <col min="9" max="9" width="10.140625" bestFit="1" customWidth="1"/>
    <col min="10" max="10" width="12.140625" customWidth="1"/>
    <col min="11" max="11" width="9.28515625" bestFit="1" customWidth="1"/>
    <col min="12" max="13" width="11" customWidth="1"/>
  </cols>
  <sheetData>
    <row r="1" spans="1:13" ht="33.75" customHeight="1">
      <c r="B1" s="6" t="s">
        <v>54</v>
      </c>
      <c r="D1" s="56"/>
    </row>
    <row r="2" spans="1:13" s="40" customFormat="1" ht="36.75" customHeight="1">
      <c r="A2" s="35" t="s">
        <v>0</v>
      </c>
      <c r="B2" s="36" t="s">
        <v>1</v>
      </c>
      <c r="C2" s="37" t="s">
        <v>2</v>
      </c>
      <c r="D2" s="38" t="s">
        <v>3</v>
      </c>
      <c r="E2" s="36" t="s">
        <v>4</v>
      </c>
      <c r="F2" s="38" t="s">
        <v>5</v>
      </c>
      <c r="G2" s="38" t="s">
        <v>6</v>
      </c>
      <c r="H2" s="38" t="s">
        <v>7</v>
      </c>
      <c r="I2" s="36" t="s">
        <v>8</v>
      </c>
      <c r="J2" s="38" t="s">
        <v>9</v>
      </c>
      <c r="K2" s="36" t="s">
        <v>10</v>
      </c>
      <c r="L2" s="38" t="s">
        <v>11</v>
      </c>
      <c r="M2" s="39" t="s">
        <v>17</v>
      </c>
    </row>
    <row r="3" spans="1:13">
      <c r="A3" s="1">
        <v>1</v>
      </c>
      <c r="B3" s="41" t="str">
        <f>июнь!B3</f>
        <v>Содержание общ.имущ.дома</v>
      </c>
      <c r="C3" s="76">
        <f>70158.04+323997.67</f>
        <v>394155.70999999996</v>
      </c>
      <c r="D3" s="66">
        <f>C3+июнь!D3</f>
        <v>2553641.4899999998</v>
      </c>
      <c r="E3" s="76">
        <f>80914.18+284185.03</f>
        <v>365099.21</v>
      </c>
      <c r="F3" s="12">
        <f>E3+июнь!F3</f>
        <v>2355879.8000000003</v>
      </c>
      <c r="G3" s="12">
        <f>E3-C3</f>
        <v>-29056.499999999942</v>
      </c>
      <c r="H3" s="14">
        <f>F3-D3</f>
        <v>-197761.68999999948</v>
      </c>
      <c r="I3" s="4"/>
      <c r="J3" s="14">
        <f>I3+июнь!J3</f>
        <v>0</v>
      </c>
      <c r="K3" s="3"/>
      <c r="L3" s="12">
        <f>K3+июнь!L3</f>
        <v>0</v>
      </c>
      <c r="M3" s="14">
        <f>J3-L3</f>
        <v>0</v>
      </c>
    </row>
    <row r="4" spans="1:13">
      <c r="A4" s="1">
        <f>A3+1</f>
        <v>2</v>
      </c>
      <c r="B4" s="41" t="str">
        <f>июнь!B4</f>
        <v>Отопление</v>
      </c>
      <c r="C4" s="78">
        <v>0</v>
      </c>
      <c r="D4" s="66">
        <f>C4+июнь!D4</f>
        <v>5804998.6699999999</v>
      </c>
      <c r="E4" s="76">
        <f>102806.83+149321.84</f>
        <v>252128.66999999998</v>
      </c>
      <c r="F4" s="12">
        <f>E4+июнь!F4</f>
        <v>6484672.5</v>
      </c>
      <c r="G4" s="12">
        <f t="shared" ref="G4:H27" si="0">E4-C4</f>
        <v>252128.66999999998</v>
      </c>
      <c r="H4" s="14">
        <f t="shared" si="0"/>
        <v>679673.83000000007</v>
      </c>
      <c r="I4" s="4"/>
      <c r="J4" s="14">
        <f>I4+июнь!J4</f>
        <v>0</v>
      </c>
      <c r="K4" s="3"/>
      <c r="L4" s="12">
        <f>K4+июнь!L4</f>
        <v>0</v>
      </c>
      <c r="M4" s="14">
        <f t="shared" ref="M4:M27" si="1">J4-L4</f>
        <v>0</v>
      </c>
    </row>
    <row r="5" spans="1:13">
      <c r="A5" s="1">
        <f t="shared" ref="A5:A27" si="2">A4+1</f>
        <v>3</v>
      </c>
      <c r="B5" s="61" t="str">
        <f>июнь!B5</f>
        <v>Горячее водоснабжение</v>
      </c>
      <c r="C5" s="76">
        <f>122753.41+473624.09</f>
        <v>596377.5</v>
      </c>
      <c r="D5" s="66">
        <f>C5+июнь!D5</f>
        <v>3913733.08</v>
      </c>
      <c r="E5" s="76">
        <f>119037.64+400869.08</f>
        <v>519906.72000000003</v>
      </c>
      <c r="F5" s="12">
        <f>E5+июнь!F5</f>
        <v>3504256.7700000005</v>
      </c>
      <c r="G5" s="12">
        <f t="shared" si="0"/>
        <v>-76470.77999999997</v>
      </c>
      <c r="H5" s="14">
        <f t="shared" si="0"/>
        <v>-409476.30999999959</v>
      </c>
      <c r="I5" s="4"/>
      <c r="J5" s="14">
        <f>I5+июнь!J5</f>
        <v>0</v>
      </c>
      <c r="K5" s="3"/>
      <c r="L5" s="12">
        <f>K5+июнь!L5</f>
        <v>0</v>
      </c>
      <c r="M5" s="14">
        <f t="shared" si="1"/>
        <v>0</v>
      </c>
    </row>
    <row r="6" spans="1:13">
      <c r="A6" s="1">
        <f t="shared" si="2"/>
        <v>4</v>
      </c>
      <c r="B6" s="41" t="str">
        <f>июнь!B6</f>
        <v>Газ</v>
      </c>
      <c r="C6" s="76">
        <f>10854.16+7959.7</f>
        <v>18813.86</v>
      </c>
      <c r="D6" s="66">
        <f>C6+июнь!D6</f>
        <v>123078.92</v>
      </c>
      <c r="E6" s="76">
        <f>9485.95+4055.84</f>
        <v>13541.79</v>
      </c>
      <c r="F6" s="12">
        <f>E6+июнь!F6</f>
        <v>77615.37</v>
      </c>
      <c r="G6" s="12">
        <f t="shared" si="0"/>
        <v>-5272.07</v>
      </c>
      <c r="H6" s="14">
        <f t="shared" si="0"/>
        <v>-45463.55</v>
      </c>
      <c r="I6" s="4"/>
      <c r="J6" s="14">
        <f>I6+июнь!J6</f>
        <v>0</v>
      </c>
      <c r="K6" s="3"/>
      <c r="L6" s="12">
        <f>K6+июнь!L6</f>
        <v>0</v>
      </c>
      <c r="M6" s="14">
        <f t="shared" si="1"/>
        <v>0</v>
      </c>
    </row>
    <row r="7" spans="1:13">
      <c r="A7" s="1">
        <f t="shared" si="2"/>
        <v>5</v>
      </c>
      <c r="B7" s="41" t="str">
        <f>июнь!B7</f>
        <v>Со.и ремонт АППЗ</v>
      </c>
      <c r="C7" s="76">
        <f>834.84+4593.01</f>
        <v>5427.85</v>
      </c>
      <c r="D7" s="66">
        <f>C7+июнь!D7</f>
        <v>37093.81</v>
      </c>
      <c r="E7" s="76">
        <f>1046.46+4644.74</f>
        <v>5691.2</v>
      </c>
      <c r="F7" s="12">
        <f>E7+июнь!F7</f>
        <v>35624.379999999997</v>
      </c>
      <c r="G7" s="12">
        <f t="shared" si="0"/>
        <v>263.34999999999945</v>
      </c>
      <c r="H7" s="14">
        <f t="shared" si="0"/>
        <v>-1469.4300000000003</v>
      </c>
      <c r="I7" s="4"/>
      <c r="J7" s="14">
        <f>I7+июнь!J7</f>
        <v>0</v>
      </c>
      <c r="K7" s="3"/>
      <c r="L7" s="12">
        <f>K7+июнь!L7</f>
        <v>0</v>
      </c>
      <c r="M7" s="14">
        <f t="shared" si="1"/>
        <v>0</v>
      </c>
    </row>
    <row r="8" spans="1:13">
      <c r="A8" s="1">
        <f t="shared" si="2"/>
        <v>6</v>
      </c>
      <c r="B8" s="41" t="str">
        <f>июнь!B8</f>
        <v>Сод.и ремонт лифтов</v>
      </c>
      <c r="C8" s="76">
        <f>4982.88+26825.68</f>
        <v>31808.560000000001</v>
      </c>
      <c r="D8" s="66">
        <f>C8+июнь!D8</f>
        <v>236173.94</v>
      </c>
      <c r="E8" s="76">
        <f>7412.65+27735.24</f>
        <v>35147.89</v>
      </c>
      <c r="F8" s="12">
        <f>E8+июнь!F8</f>
        <v>232500.49</v>
      </c>
      <c r="G8" s="12">
        <f t="shared" si="0"/>
        <v>3339.3299999999981</v>
      </c>
      <c r="H8" s="14">
        <f t="shared" si="0"/>
        <v>-3673.4500000000116</v>
      </c>
      <c r="I8" s="4"/>
      <c r="J8" s="14">
        <f>I8+июнь!J8</f>
        <v>0</v>
      </c>
      <c r="K8" s="3"/>
      <c r="L8" s="12">
        <f>K8+июнь!L8</f>
        <v>0</v>
      </c>
      <c r="M8" s="14">
        <f t="shared" si="1"/>
        <v>0</v>
      </c>
    </row>
    <row r="9" spans="1:13">
      <c r="A9" s="1">
        <f t="shared" si="2"/>
        <v>7</v>
      </c>
      <c r="B9" s="41" t="str">
        <f>июнь!B9</f>
        <v>Очистка мусоропроводов</v>
      </c>
      <c r="C9" s="76">
        <f>3016.79+16198.92</f>
        <v>19215.71</v>
      </c>
      <c r="D9" s="66">
        <f>C9+июнь!D9</f>
        <v>119618.19</v>
      </c>
      <c r="E9" s="76">
        <f>3442.07+15307.28</f>
        <v>18749.350000000002</v>
      </c>
      <c r="F9" s="12">
        <f>E9+июнь!F9</f>
        <v>112839.73000000001</v>
      </c>
      <c r="G9" s="12">
        <f t="shared" si="0"/>
        <v>-466.35999999999694</v>
      </c>
      <c r="H9" s="14">
        <f t="shared" si="0"/>
        <v>-6778.4599999999919</v>
      </c>
      <c r="I9" s="4"/>
      <c r="J9" s="14">
        <f>I9+июнь!J9</f>
        <v>0</v>
      </c>
      <c r="K9" s="3"/>
      <c r="L9" s="12">
        <f>K9+июнь!L9</f>
        <v>0</v>
      </c>
      <c r="M9" s="14">
        <f t="shared" si="1"/>
        <v>0</v>
      </c>
    </row>
    <row r="10" spans="1:13">
      <c r="A10" s="1">
        <f t="shared" si="2"/>
        <v>8</v>
      </c>
      <c r="B10" s="41" t="str">
        <f>июнь!B10</f>
        <v>Уборка и сан.очистка зем.уч.</v>
      </c>
      <c r="C10" s="76">
        <f>10577.21+48877.16</f>
        <v>59454.37</v>
      </c>
      <c r="D10" s="66">
        <f>C10+июнь!D10</f>
        <v>391842.5</v>
      </c>
      <c r="E10" s="76">
        <f>12092.36+43157.19</f>
        <v>55249.55</v>
      </c>
      <c r="F10" s="12">
        <f>E10+июнь!F10</f>
        <v>360132.45999999996</v>
      </c>
      <c r="G10" s="12">
        <f t="shared" si="0"/>
        <v>-4204.82</v>
      </c>
      <c r="H10" s="14">
        <f t="shared" si="0"/>
        <v>-31710.040000000037</v>
      </c>
      <c r="I10" s="4"/>
      <c r="J10" s="14">
        <f>I10+июнь!J10</f>
        <v>0</v>
      </c>
      <c r="K10" s="3"/>
      <c r="L10" s="12">
        <f>K10+июнь!L10</f>
        <v>0</v>
      </c>
      <c r="M10" s="14">
        <f t="shared" si="1"/>
        <v>0</v>
      </c>
    </row>
    <row r="11" spans="1:13" ht="15" customHeight="1">
      <c r="A11" s="1">
        <f t="shared" si="2"/>
        <v>9</v>
      </c>
      <c r="B11" s="41" t="str">
        <f>июнь!B11</f>
        <v>Электроснабжение (инд.потр)</v>
      </c>
      <c r="C11" s="76">
        <f>68565.59+278995.26</f>
        <v>347560.85</v>
      </c>
      <c r="D11" s="66">
        <f>C11+июнь!D11</f>
        <v>2251388.8199999998</v>
      </c>
      <c r="E11" s="76">
        <f>63915.5+237049.34</f>
        <v>300964.83999999997</v>
      </c>
      <c r="F11" s="12">
        <f>E11+июнь!F11</f>
        <v>2093089.2600000002</v>
      </c>
      <c r="G11" s="12">
        <f t="shared" si="0"/>
        <v>-46596.010000000009</v>
      </c>
      <c r="H11" s="14">
        <f t="shared" si="0"/>
        <v>-158299.55999999959</v>
      </c>
      <c r="I11" s="4"/>
      <c r="J11" s="14">
        <f>I11+июнь!J11</f>
        <v>0</v>
      </c>
      <c r="K11" s="3"/>
      <c r="L11" s="12">
        <f>K11+июнь!L11</f>
        <v>0</v>
      </c>
      <c r="M11" s="14">
        <f t="shared" si="1"/>
        <v>0</v>
      </c>
    </row>
    <row r="12" spans="1:13">
      <c r="A12" s="1">
        <f t="shared" si="2"/>
        <v>10</v>
      </c>
      <c r="B12" s="41" t="str">
        <f>июнь!B12</f>
        <v>Холодная вода</v>
      </c>
      <c r="C12" s="77">
        <f>66706.84+245641.93</f>
        <v>312348.77</v>
      </c>
      <c r="D12" s="66">
        <f>C12+июнь!D12</f>
        <v>1917815.0299999998</v>
      </c>
      <c r="E12" s="76">
        <f>58018.97+189796.09</f>
        <v>247815.06</v>
      </c>
      <c r="F12" s="12">
        <f>E12+июнь!F12</f>
        <v>1649720.9</v>
      </c>
      <c r="G12" s="12">
        <f t="shared" si="0"/>
        <v>-64533.710000000021</v>
      </c>
      <c r="H12" s="14">
        <f t="shared" si="0"/>
        <v>-268094.12999999989</v>
      </c>
      <c r="I12" s="4"/>
      <c r="J12" s="14">
        <f>I12+июнь!J12</f>
        <v>0</v>
      </c>
      <c r="K12" s="3"/>
      <c r="L12" s="12">
        <f>K12+июнь!L12</f>
        <v>0</v>
      </c>
      <c r="M12" s="14">
        <f t="shared" si="1"/>
        <v>0</v>
      </c>
    </row>
    <row r="13" spans="1:13">
      <c r="A13" s="1">
        <f t="shared" si="2"/>
        <v>11</v>
      </c>
      <c r="B13" s="61" t="str">
        <f>июнь!B13</f>
        <v>Канализирование х. воды</v>
      </c>
      <c r="C13" s="78">
        <v>0</v>
      </c>
      <c r="D13" s="66">
        <f>C13+июнь!D13</f>
        <v>-2210.14</v>
      </c>
      <c r="E13" s="78">
        <v>0</v>
      </c>
      <c r="F13" s="12">
        <f>E13+июнь!F13</f>
        <v>3058.2999999999997</v>
      </c>
      <c r="G13" s="12">
        <f t="shared" si="0"/>
        <v>0</v>
      </c>
      <c r="H13" s="14">
        <f t="shared" si="0"/>
        <v>5268.44</v>
      </c>
      <c r="I13" s="4"/>
      <c r="J13" s="14">
        <f>I13+июнь!J13</f>
        <v>0</v>
      </c>
      <c r="K13" s="3"/>
      <c r="L13" s="12">
        <f>K13+июнь!L13</f>
        <v>0</v>
      </c>
      <c r="M13" s="14">
        <f t="shared" si="1"/>
        <v>0</v>
      </c>
    </row>
    <row r="14" spans="1:13">
      <c r="A14" s="1">
        <f t="shared" si="2"/>
        <v>12</v>
      </c>
      <c r="B14" s="41" t="str">
        <f>июнь!B14</f>
        <v>Канализирование г. воды</v>
      </c>
      <c r="C14" s="78">
        <v>0</v>
      </c>
      <c r="D14" s="66">
        <f>C14+июнь!D14</f>
        <v>-1504.92</v>
      </c>
      <c r="E14" s="78">
        <v>0</v>
      </c>
      <c r="F14" s="12">
        <f>E14+июнь!F14</f>
        <v>1607.1200000000001</v>
      </c>
      <c r="G14" s="12">
        <f t="shared" si="0"/>
        <v>0</v>
      </c>
      <c r="H14" s="14">
        <f t="shared" si="0"/>
        <v>3112.04</v>
      </c>
      <c r="I14" s="4"/>
      <c r="J14" s="14">
        <f>I14+июнь!J14</f>
        <v>0</v>
      </c>
      <c r="K14" s="3"/>
      <c r="L14" s="12">
        <f>K14+июнь!L14</f>
        <v>0</v>
      </c>
      <c r="M14" s="14">
        <f t="shared" si="1"/>
        <v>0</v>
      </c>
    </row>
    <row r="15" spans="1:13">
      <c r="A15" s="1">
        <f t="shared" si="2"/>
        <v>13</v>
      </c>
      <c r="B15" s="41" t="str">
        <f>июнь!B15</f>
        <v>Тек.рем.общ.имущ.дома</v>
      </c>
      <c r="C15" s="76">
        <f>34938.37+161451.07</f>
        <v>196389.44</v>
      </c>
      <c r="D15" s="66">
        <f>C15+июнь!D15</f>
        <v>1322984.76</v>
      </c>
      <c r="E15" s="76">
        <f>41991.53+145209.63</f>
        <v>187201.16</v>
      </c>
      <c r="F15" s="12">
        <f>E15+июнь!F15</f>
        <v>1232851.8699999999</v>
      </c>
      <c r="G15" s="12">
        <f t="shared" si="0"/>
        <v>-9188.2799999999988</v>
      </c>
      <c r="H15" s="14">
        <f t="shared" si="0"/>
        <v>-90132.89000000013</v>
      </c>
      <c r="I15" s="4"/>
      <c r="J15" s="14">
        <f>I15+июнь!J15</f>
        <v>0</v>
      </c>
      <c r="K15" s="3"/>
      <c r="L15" s="12">
        <f>K15+июнь!L15</f>
        <v>0</v>
      </c>
      <c r="M15" s="14">
        <f t="shared" si="1"/>
        <v>0</v>
      </c>
    </row>
    <row r="16" spans="1:13">
      <c r="A16" s="1">
        <f t="shared" si="2"/>
        <v>14</v>
      </c>
      <c r="B16" s="41" t="str">
        <f>июнь!B16</f>
        <v>Сод.и тек.рем.в/дом.газосн.</v>
      </c>
      <c r="C16" s="76">
        <f>2176.61+10259.14</f>
        <v>12435.75</v>
      </c>
      <c r="D16" s="66">
        <f>C16+июнь!D16</f>
        <v>82669.88</v>
      </c>
      <c r="E16" s="76">
        <f>2822.84+8506.84</f>
        <v>11329.68</v>
      </c>
      <c r="F16" s="12">
        <f>E16+июнь!F16</f>
        <v>75957.56</v>
      </c>
      <c r="G16" s="12">
        <f t="shared" si="0"/>
        <v>-1106.0699999999997</v>
      </c>
      <c r="H16" s="14">
        <f t="shared" si="0"/>
        <v>-6712.320000000007</v>
      </c>
      <c r="I16" s="4"/>
      <c r="J16" s="14">
        <f>I16+июнь!J16</f>
        <v>0</v>
      </c>
      <c r="K16" s="3"/>
      <c r="L16" s="12">
        <f>K16+июнь!L16</f>
        <v>0</v>
      </c>
      <c r="M16" s="14">
        <f t="shared" si="1"/>
        <v>0</v>
      </c>
    </row>
    <row r="17" spans="1:13">
      <c r="A17" s="1">
        <f t="shared" si="2"/>
        <v>15</v>
      </c>
      <c r="B17" s="41" t="str">
        <f>июнь!B17</f>
        <v>Управление многокв.домом</v>
      </c>
      <c r="C17" s="76">
        <f>16809.81+77694.24</f>
        <v>94504.05</v>
      </c>
      <c r="D17" s="66">
        <f>C17+июнь!D17</f>
        <v>560001.14</v>
      </c>
      <c r="E17" s="76">
        <f>16180.06+64931.3</f>
        <v>81111.360000000001</v>
      </c>
      <c r="F17" s="12">
        <f>E17+июнь!F17</f>
        <v>502770.6</v>
      </c>
      <c r="G17" s="12">
        <f t="shared" si="0"/>
        <v>-13392.690000000002</v>
      </c>
      <c r="H17" s="14">
        <f t="shared" si="0"/>
        <v>-57230.540000000037</v>
      </c>
      <c r="I17" s="4"/>
      <c r="J17" s="14">
        <f>I17+июнь!J17</f>
        <v>0</v>
      </c>
      <c r="K17" s="3"/>
      <c r="L17" s="12">
        <f>K17+июнь!L17</f>
        <v>0</v>
      </c>
      <c r="M17" s="14">
        <f t="shared" si="1"/>
        <v>0</v>
      </c>
    </row>
    <row r="18" spans="1:13">
      <c r="A18" s="1">
        <f t="shared" si="2"/>
        <v>16</v>
      </c>
      <c r="B18" s="41" t="str">
        <f>июнь!B18</f>
        <v>Водоотведение (кв)</v>
      </c>
      <c r="C18" s="76">
        <f>101968.45+381692.74</f>
        <v>483661.19</v>
      </c>
      <c r="D18" s="66">
        <f>C18+июнь!D18</f>
        <v>3012091.31</v>
      </c>
      <c r="E18" s="76">
        <f>93434.75+303021.89</f>
        <v>396456.64</v>
      </c>
      <c r="F18" s="12">
        <f>E18+июнь!F18</f>
        <v>2634392.69</v>
      </c>
      <c r="G18" s="12">
        <f t="shared" si="0"/>
        <v>-87204.549999999988</v>
      </c>
      <c r="H18" s="14">
        <f t="shared" si="0"/>
        <v>-377698.62000000011</v>
      </c>
      <c r="I18" s="4"/>
      <c r="J18" s="14">
        <f>I18+июнь!J18</f>
        <v>0</v>
      </c>
      <c r="K18" s="3"/>
      <c r="L18" s="12">
        <f>K18+июнь!L18</f>
        <v>0</v>
      </c>
      <c r="M18" s="14">
        <f t="shared" si="1"/>
        <v>0</v>
      </c>
    </row>
    <row r="19" spans="1:13" ht="16.5" customHeight="1">
      <c r="A19" s="1">
        <f t="shared" si="2"/>
        <v>17</v>
      </c>
      <c r="B19" s="41" t="str">
        <f>июнь!B19</f>
        <v>Электроснабж.на общед.нужды</v>
      </c>
      <c r="C19" s="76">
        <f>912.74+4675.76</f>
        <v>5588.5</v>
      </c>
      <c r="D19" s="66">
        <f>C19+июнь!D19</f>
        <v>47466.850000000006</v>
      </c>
      <c r="E19" s="76">
        <f>2140.22+4908.1</f>
        <v>7048.32</v>
      </c>
      <c r="F19" s="12">
        <f>E19+июнь!F19</f>
        <v>46692.74</v>
      </c>
      <c r="G19" s="12">
        <f t="shared" si="0"/>
        <v>1459.8199999999997</v>
      </c>
      <c r="H19" s="14">
        <f t="shared" si="0"/>
        <v>-774.11000000000786</v>
      </c>
      <c r="I19" s="4"/>
      <c r="J19" s="14">
        <f>I19+июнь!J19</f>
        <v>0</v>
      </c>
      <c r="K19" s="3"/>
      <c r="L19" s="12">
        <f>K19+июнь!L19</f>
        <v>0</v>
      </c>
      <c r="M19" s="14">
        <f t="shared" si="1"/>
        <v>0</v>
      </c>
    </row>
    <row r="20" spans="1:13">
      <c r="A20" s="1">
        <f t="shared" si="2"/>
        <v>18</v>
      </c>
      <c r="B20" s="41" t="str">
        <f>июнь!B20</f>
        <v>Эксплуатация общед. ПУ</v>
      </c>
      <c r="C20" s="76">
        <f>2819.65+14993.9</f>
        <v>17813.55</v>
      </c>
      <c r="D20" s="66">
        <f>C20+июнь!D20</f>
        <v>119383.96</v>
      </c>
      <c r="E20" s="76">
        <f>4000.85+13836.14</f>
        <v>17836.989999999998</v>
      </c>
      <c r="F20" s="12">
        <f>E20+июнь!F20</f>
        <v>113594.51999999999</v>
      </c>
      <c r="G20" s="12">
        <f t="shared" si="0"/>
        <v>23.43999999999869</v>
      </c>
      <c r="H20" s="14">
        <f t="shared" si="0"/>
        <v>-5789.4400000000169</v>
      </c>
      <c r="I20" s="4"/>
      <c r="J20" s="14">
        <f>I20+июнь!J20</f>
        <v>0</v>
      </c>
      <c r="K20" s="3"/>
      <c r="L20" s="12">
        <f>K20+июнь!L20</f>
        <v>0</v>
      </c>
      <c r="M20" s="14">
        <f t="shared" si="1"/>
        <v>0</v>
      </c>
    </row>
    <row r="21" spans="1:13">
      <c r="A21" s="1">
        <f t="shared" si="2"/>
        <v>19</v>
      </c>
      <c r="B21" s="41" t="str">
        <f>июнь!B21</f>
        <v>Хол.водоснабж.(о/д нужды)</v>
      </c>
      <c r="C21" s="76">
        <f>1159.7+6018.52</f>
        <v>7178.22</v>
      </c>
      <c r="D21" s="66">
        <f>C21+июнь!D21</f>
        <v>45452.560000000005</v>
      </c>
      <c r="E21" s="76">
        <f>2178.83+6162.65</f>
        <v>8341.48</v>
      </c>
      <c r="F21" s="12">
        <f>E21+июнь!F21</f>
        <v>48864.28</v>
      </c>
      <c r="G21" s="12">
        <f t="shared" si="0"/>
        <v>1163.2599999999993</v>
      </c>
      <c r="H21" s="14">
        <f t="shared" si="0"/>
        <v>3411.7199999999939</v>
      </c>
      <c r="I21" s="4"/>
      <c r="J21" s="14">
        <f>I21+июнь!J21</f>
        <v>0</v>
      </c>
      <c r="K21" s="3"/>
      <c r="L21" s="12">
        <f>K21+июнь!L21</f>
        <v>0</v>
      </c>
      <c r="M21" s="14">
        <f t="shared" si="1"/>
        <v>0</v>
      </c>
    </row>
    <row r="22" spans="1:13">
      <c r="A22" s="1">
        <f t="shared" si="2"/>
        <v>20</v>
      </c>
      <c r="B22" s="41" t="str">
        <f>июнь!B22</f>
        <v>Водоотведение(о/д нужды)</v>
      </c>
      <c r="C22" s="76">
        <f>18790.94+90723.64+8999.37</f>
        <v>118513.95</v>
      </c>
      <c r="D22" s="66">
        <f>C22+июнь!D22</f>
        <v>118323.09999999999</v>
      </c>
      <c r="E22" s="76">
        <f>33380.9+115079.63+5087.11</f>
        <v>153547.63999999998</v>
      </c>
      <c r="F22" s="12">
        <f>E22+июнь!F22</f>
        <v>153221.59</v>
      </c>
      <c r="G22" s="12">
        <f t="shared" si="0"/>
        <v>35033.689999999988</v>
      </c>
      <c r="H22" s="14">
        <f t="shared" si="0"/>
        <v>34898.490000000005</v>
      </c>
      <c r="I22" s="4"/>
      <c r="J22" s="14">
        <f>I22+июнь!J22</f>
        <v>0</v>
      </c>
      <c r="K22" s="3"/>
      <c r="L22" s="12">
        <f>K22+июнь!L22</f>
        <v>0</v>
      </c>
      <c r="M22" s="14">
        <f t="shared" si="1"/>
        <v>0</v>
      </c>
    </row>
    <row r="23" spans="1:13">
      <c r="A23" s="1">
        <f t="shared" si="2"/>
        <v>21</v>
      </c>
      <c r="B23" s="41" t="str">
        <f>июнь!B23</f>
        <v>Отопление (о/д нужды)</v>
      </c>
      <c r="C23" s="78">
        <v>0</v>
      </c>
      <c r="D23" s="66">
        <f>C23+июнь!D23</f>
        <v>-848.48</v>
      </c>
      <c r="E23" s="78">
        <v>0</v>
      </c>
      <c r="F23" s="12">
        <f>E23+июнь!F23</f>
        <v>1363.3700000000001</v>
      </c>
      <c r="G23" s="12">
        <f t="shared" si="0"/>
        <v>0</v>
      </c>
      <c r="H23" s="14">
        <f t="shared" si="0"/>
        <v>2211.8500000000004</v>
      </c>
      <c r="I23" s="4"/>
      <c r="J23" s="14">
        <f>I23+июнь!J23</f>
        <v>0</v>
      </c>
      <c r="K23" s="3"/>
      <c r="L23" s="12">
        <f>K23+июнь!L23</f>
        <v>0</v>
      </c>
      <c r="M23" s="14">
        <f t="shared" si="1"/>
        <v>0</v>
      </c>
    </row>
    <row r="24" spans="1:13">
      <c r="A24" s="1">
        <f t="shared" si="2"/>
        <v>22</v>
      </c>
      <c r="B24" s="41" t="str">
        <f>июнь!B24</f>
        <v>Электроснабжение (общед.н)</v>
      </c>
      <c r="C24" s="78">
        <v>0</v>
      </c>
      <c r="D24" s="66">
        <f>C24+июнь!D24</f>
        <v>1261837.77</v>
      </c>
      <c r="E24" s="78">
        <v>0</v>
      </c>
      <c r="F24" s="12">
        <f>E24+июнь!F24</f>
        <v>1372049.1099999999</v>
      </c>
      <c r="G24" s="12">
        <f t="shared" si="0"/>
        <v>0</v>
      </c>
      <c r="H24" s="14">
        <f t="shared" si="0"/>
        <v>110211.33999999985</v>
      </c>
      <c r="I24" s="4"/>
      <c r="J24" s="14">
        <f>I24+июнь!J24</f>
        <v>0</v>
      </c>
      <c r="K24" s="4"/>
      <c r="L24" s="12">
        <f>K24+июнь!L24</f>
        <v>0</v>
      </c>
      <c r="M24" s="14">
        <f t="shared" si="1"/>
        <v>0</v>
      </c>
    </row>
    <row r="25" spans="1:13">
      <c r="A25" s="1">
        <f t="shared" si="2"/>
        <v>23</v>
      </c>
      <c r="B25" s="41" t="str">
        <f>июнь!B25</f>
        <v>Гор.водоснабж.(о/д нужды)</v>
      </c>
      <c r="C25" s="76">
        <f>2287.93+11622.92</f>
        <v>13910.85</v>
      </c>
      <c r="D25" s="66">
        <f>C25+июнь!D25</f>
        <v>118032.49</v>
      </c>
      <c r="E25" s="76">
        <f>2733.21+11320.73</f>
        <v>14053.939999999999</v>
      </c>
      <c r="F25" s="12">
        <f>E25+июнь!F25</f>
        <v>117940.56999999999</v>
      </c>
      <c r="G25" s="12">
        <f t="shared" si="0"/>
        <v>143.08999999999833</v>
      </c>
      <c r="H25" s="14">
        <f t="shared" si="0"/>
        <v>-91.920000000012806</v>
      </c>
      <c r="I25" s="4"/>
      <c r="J25" s="14">
        <f>I25+июнь!J25</f>
        <v>0</v>
      </c>
      <c r="K25" s="3"/>
      <c r="L25" s="12">
        <f>K25+июнь!L25</f>
        <v>0</v>
      </c>
      <c r="M25" s="14">
        <f t="shared" si="1"/>
        <v>0</v>
      </c>
    </row>
    <row r="26" spans="1:13">
      <c r="A26" s="1">
        <f t="shared" si="2"/>
        <v>24</v>
      </c>
      <c r="B26" s="41" t="str">
        <f>июнь!B26</f>
        <v>Капитальный ремонт</v>
      </c>
      <c r="C26" s="78">
        <v>0</v>
      </c>
      <c r="D26" s="66">
        <f>C26+июнь!D26</f>
        <v>0</v>
      </c>
      <c r="E26" s="78">
        <v>0</v>
      </c>
      <c r="F26" s="12">
        <f>E26+июнь!F26</f>
        <v>0</v>
      </c>
      <c r="G26" s="12">
        <f t="shared" si="0"/>
        <v>0</v>
      </c>
      <c r="H26" s="14">
        <f t="shared" si="0"/>
        <v>0</v>
      </c>
      <c r="I26" s="4"/>
      <c r="J26" s="14">
        <f>I26+июнь!J26</f>
        <v>0</v>
      </c>
      <c r="K26" s="3"/>
      <c r="L26" s="12">
        <f>K26+июнь!L26</f>
        <v>0</v>
      </c>
      <c r="M26" s="14">
        <f t="shared" si="1"/>
        <v>0</v>
      </c>
    </row>
    <row r="27" spans="1:13">
      <c r="A27" s="1">
        <f t="shared" si="2"/>
        <v>25</v>
      </c>
      <c r="B27" s="41" t="str">
        <f>июнь!B27</f>
        <v>Уборка лестн. Кл</v>
      </c>
      <c r="C27" s="78">
        <v>0</v>
      </c>
      <c r="D27" s="66">
        <f>C27+июнь!D27</f>
        <v>4670.8500000000004</v>
      </c>
      <c r="E27" s="78">
        <v>0</v>
      </c>
      <c r="F27" s="12">
        <f>E27+июнь!F27</f>
        <v>2749.94</v>
      </c>
      <c r="G27" s="12">
        <f t="shared" si="0"/>
        <v>0</v>
      </c>
      <c r="H27" s="14">
        <f t="shared" si="0"/>
        <v>-1920.9100000000003</v>
      </c>
      <c r="I27" s="4"/>
      <c r="J27" s="14">
        <f>I27+июнь!J27</f>
        <v>0</v>
      </c>
      <c r="K27" s="3"/>
      <c r="L27" s="12">
        <f>K27+июнь!L27</f>
        <v>0</v>
      </c>
      <c r="M27" s="14">
        <f t="shared" si="1"/>
        <v>0</v>
      </c>
    </row>
    <row r="28" spans="1:13">
      <c r="A28" s="1">
        <v>26</v>
      </c>
      <c r="B28" s="41" t="s">
        <v>45</v>
      </c>
      <c r="C28" s="78">
        <v>0</v>
      </c>
      <c r="D28" s="66"/>
      <c r="E28" s="78">
        <v>0</v>
      </c>
      <c r="F28" s="12"/>
      <c r="G28" s="12"/>
      <c r="H28" s="14"/>
      <c r="I28" s="4"/>
      <c r="J28" s="14"/>
      <c r="K28" s="3"/>
      <c r="L28" s="12"/>
      <c r="M28" s="14"/>
    </row>
    <row r="29" spans="1:13" s="6" customFormat="1">
      <c r="A29" s="16"/>
      <c r="B29" s="17" t="s">
        <v>12</v>
      </c>
      <c r="C29" s="67">
        <f>SUM(C3:C28)</f>
        <v>2735158.6800000006</v>
      </c>
      <c r="D29" s="67">
        <f>SUM(D3:D28)</f>
        <v>24037735.579999998</v>
      </c>
      <c r="E29" s="68">
        <f>SUM(E3:E28)</f>
        <v>2691221.49</v>
      </c>
      <c r="F29" s="15">
        <f t="shared" ref="F29:M29" si="3">SUM(F3:F28)</f>
        <v>23213445.920000006</v>
      </c>
      <c r="G29" s="15">
        <f t="shared" si="3"/>
        <v>-43937.189999999973</v>
      </c>
      <c r="H29" s="15">
        <f t="shared" si="3"/>
        <v>-824289.6599999991</v>
      </c>
      <c r="I29" s="15">
        <f t="shared" si="3"/>
        <v>0</v>
      </c>
      <c r="J29" s="15">
        <f t="shared" si="3"/>
        <v>0</v>
      </c>
      <c r="K29" s="15">
        <f t="shared" si="3"/>
        <v>0</v>
      </c>
      <c r="L29" s="15">
        <f t="shared" si="3"/>
        <v>0</v>
      </c>
      <c r="M29" s="15">
        <f t="shared" si="3"/>
        <v>0</v>
      </c>
    </row>
    <row r="31" spans="1:13">
      <c r="B31" s="57" t="s">
        <v>42</v>
      </c>
      <c r="C31" s="58">
        <f>C12+C13+C14+C18+C21+C22</f>
        <v>921702.12999999989</v>
      </c>
      <c r="D31" s="58">
        <f t="shared" ref="D31:L31" si="4">D12+D13+D14+D18+D21+D22</f>
        <v>5089966.9399999995</v>
      </c>
      <c r="E31" s="58">
        <f t="shared" si="4"/>
        <v>806160.82</v>
      </c>
      <c r="F31" s="58">
        <f t="shared" si="4"/>
        <v>4490864.88</v>
      </c>
      <c r="G31" s="58">
        <f t="shared" si="4"/>
        <v>-115541.31000000001</v>
      </c>
      <c r="H31" s="58">
        <f t="shared" si="4"/>
        <v>-599102.06000000006</v>
      </c>
      <c r="I31" s="58">
        <f t="shared" si="4"/>
        <v>0</v>
      </c>
      <c r="J31" s="58">
        <f t="shared" si="4"/>
        <v>0</v>
      </c>
      <c r="K31" s="58">
        <f t="shared" si="4"/>
        <v>0</v>
      </c>
      <c r="L31" s="58">
        <f t="shared" si="4"/>
        <v>0</v>
      </c>
    </row>
    <row r="32" spans="1:13">
      <c r="B32" s="57" t="s">
        <v>43</v>
      </c>
      <c r="C32" s="58">
        <f t="shared" ref="C32:L32" si="5">C11+C24+C19</f>
        <v>353149.35</v>
      </c>
      <c r="D32" s="58">
        <f t="shared" si="5"/>
        <v>3560693.44</v>
      </c>
      <c r="E32" s="58">
        <f t="shared" si="5"/>
        <v>308013.15999999997</v>
      </c>
      <c r="F32" s="58">
        <f t="shared" si="5"/>
        <v>3511831.1100000003</v>
      </c>
      <c r="G32" s="58">
        <f t="shared" si="5"/>
        <v>-45136.19000000001</v>
      </c>
      <c r="H32" s="58">
        <f t="shared" si="5"/>
        <v>-48862.329999999747</v>
      </c>
      <c r="I32" s="58">
        <f t="shared" si="5"/>
        <v>0</v>
      </c>
      <c r="J32" s="58">
        <f t="shared" si="5"/>
        <v>0</v>
      </c>
      <c r="K32" s="58">
        <f t="shared" si="5"/>
        <v>0</v>
      </c>
      <c r="L32" s="58">
        <f t="shared" si="5"/>
        <v>0</v>
      </c>
    </row>
    <row r="33" spans="2:12">
      <c r="B33" s="57" t="s">
        <v>44</v>
      </c>
      <c r="C33" s="58">
        <f>C4+C5+C23+C25</f>
        <v>610288.35</v>
      </c>
      <c r="D33" s="58">
        <f t="shared" ref="D33:L33" si="6">D4+D5+D23+D25</f>
        <v>9835915.7599999998</v>
      </c>
      <c r="E33" s="58">
        <f t="shared" si="6"/>
        <v>786089.33</v>
      </c>
      <c r="F33" s="58">
        <f t="shared" si="6"/>
        <v>10108233.209999999</v>
      </c>
      <c r="G33" s="58">
        <f t="shared" si="6"/>
        <v>175800.98</v>
      </c>
      <c r="H33" s="58">
        <f t="shared" si="6"/>
        <v>272317.45000000042</v>
      </c>
      <c r="I33" s="58">
        <f t="shared" si="6"/>
        <v>0</v>
      </c>
      <c r="J33" s="58">
        <f t="shared" si="6"/>
        <v>0</v>
      </c>
      <c r="K33" s="58">
        <f t="shared" si="6"/>
        <v>0</v>
      </c>
      <c r="L33" s="58">
        <f t="shared" si="6"/>
        <v>0</v>
      </c>
    </row>
    <row r="36" spans="2:12">
      <c r="C36">
        <f>540313.96+2194844.72</f>
        <v>2735158.68</v>
      </c>
      <c r="E36">
        <f>657035.8+2034185.69</f>
        <v>2691221.49</v>
      </c>
    </row>
    <row r="37" spans="2:12">
      <c r="E37" s="69"/>
    </row>
    <row r="38" spans="2:12">
      <c r="E38" s="69"/>
    </row>
    <row r="39" spans="2:12">
      <c r="E39" s="70"/>
      <c r="F39" s="64"/>
      <c r="G39" s="65"/>
    </row>
    <row r="40" spans="2:12">
      <c r="E40" s="65"/>
      <c r="F40" s="65"/>
    </row>
  </sheetData>
  <phoneticPr fontId="0" type="noConversion"/>
  <pageMargins left="0.19685039370078741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1:M39"/>
  <sheetViews>
    <sheetView workbookViewId="0">
      <selection activeCell="I37" sqref="I37"/>
    </sheetView>
  </sheetViews>
  <sheetFormatPr defaultRowHeight="12.75"/>
  <cols>
    <col min="1" max="1" width="3.5703125" customWidth="1"/>
    <col min="2" max="2" width="30" customWidth="1"/>
    <col min="3" max="3" width="12" customWidth="1"/>
    <col min="4" max="4" width="13.85546875" customWidth="1"/>
    <col min="5" max="5" width="11.5703125" customWidth="1"/>
    <col min="6" max="6" width="12.85546875" customWidth="1"/>
    <col min="7" max="7" width="12.28515625" customWidth="1"/>
    <col min="8" max="8" width="11.85546875" customWidth="1"/>
    <col min="9" max="9" width="10.140625" bestFit="1" customWidth="1"/>
    <col min="10" max="10" width="10.85546875" customWidth="1"/>
    <col min="11" max="11" width="9.28515625" bestFit="1" customWidth="1"/>
    <col min="12" max="12" width="11.28515625" customWidth="1"/>
    <col min="13" max="13" width="10.140625" bestFit="1" customWidth="1"/>
  </cols>
  <sheetData>
    <row r="1" spans="1:13" ht="29.25" customHeight="1">
      <c r="B1" s="6" t="s">
        <v>55</v>
      </c>
    </row>
    <row r="2" spans="1:13" s="52" customFormat="1" ht="38.25">
      <c r="A2" s="47" t="s">
        <v>0</v>
      </c>
      <c r="B2" s="48" t="s">
        <v>1</v>
      </c>
      <c r="C2" s="49" t="s">
        <v>2</v>
      </c>
      <c r="D2" s="50" t="s">
        <v>3</v>
      </c>
      <c r="E2" s="48" t="s">
        <v>4</v>
      </c>
      <c r="F2" s="50" t="s">
        <v>5</v>
      </c>
      <c r="G2" s="50" t="s">
        <v>6</v>
      </c>
      <c r="H2" s="50" t="s">
        <v>7</v>
      </c>
      <c r="I2" s="48" t="s">
        <v>8</v>
      </c>
      <c r="J2" s="50" t="s">
        <v>9</v>
      </c>
      <c r="K2" s="48" t="s">
        <v>10</v>
      </c>
      <c r="L2" s="50" t="s">
        <v>11</v>
      </c>
      <c r="M2" s="51" t="s">
        <v>17</v>
      </c>
    </row>
    <row r="3" spans="1:13">
      <c r="A3" s="1">
        <v>1</v>
      </c>
      <c r="B3" s="41" t="str">
        <f>июль!B3</f>
        <v>Содержание общ.имущ.дома</v>
      </c>
      <c r="C3" s="3">
        <f>323997.67+70158.04</f>
        <v>394155.70999999996</v>
      </c>
      <c r="D3" s="12">
        <f>C3+июль!D3</f>
        <v>2947797.1999999997</v>
      </c>
      <c r="E3" s="4">
        <f>322418.45+54199.55</f>
        <v>376618</v>
      </c>
      <c r="F3" s="12">
        <f>E3+июль!F3</f>
        <v>2732497.8000000003</v>
      </c>
      <c r="G3" s="12">
        <f>E3-C3</f>
        <v>-17537.709999999963</v>
      </c>
      <c r="H3" s="14">
        <f>F3-D3</f>
        <v>-215299.39999999944</v>
      </c>
      <c r="I3" s="4"/>
      <c r="J3" s="14">
        <f>I3+июль!J3</f>
        <v>0</v>
      </c>
      <c r="K3" s="3"/>
      <c r="L3" s="12">
        <f>K3+июль!L3</f>
        <v>0</v>
      </c>
      <c r="M3" s="14">
        <f>J3-L3</f>
        <v>0</v>
      </c>
    </row>
    <row r="4" spans="1:13">
      <c r="A4" s="1">
        <f>A3+1</f>
        <v>2</v>
      </c>
      <c r="B4" s="41" t="str">
        <f>июль!B4</f>
        <v>Отопление</v>
      </c>
      <c r="C4" s="3">
        <v>0</v>
      </c>
      <c r="D4" s="12">
        <f>C4+июль!D4</f>
        <v>5804998.6699999999</v>
      </c>
      <c r="E4" s="4">
        <f>132526.19+32469.64</f>
        <v>164995.83000000002</v>
      </c>
      <c r="F4" s="12">
        <f>E4+июль!F4</f>
        <v>6649668.3300000001</v>
      </c>
      <c r="G4" s="12">
        <f t="shared" ref="G4:G28" si="0">E4-C4</f>
        <v>164995.83000000002</v>
      </c>
      <c r="H4" s="14">
        <f t="shared" ref="H4:H26" si="1">F4-D4</f>
        <v>844669.66000000015</v>
      </c>
      <c r="I4" s="4"/>
      <c r="J4" s="14">
        <f>I4+июль!J4</f>
        <v>0</v>
      </c>
      <c r="K4" s="3"/>
      <c r="L4" s="12">
        <f>K4+июль!L4</f>
        <v>0</v>
      </c>
      <c r="M4" s="14">
        <f t="shared" ref="M4:M27" si="2">J4-L4</f>
        <v>0</v>
      </c>
    </row>
    <row r="5" spans="1:13">
      <c r="A5" s="1">
        <f t="shared" ref="A5:A26" si="3">A4+1</f>
        <v>3</v>
      </c>
      <c r="B5" s="61" t="str">
        <f>июль!B5</f>
        <v>Горячее водоснабжение</v>
      </c>
      <c r="C5" s="3">
        <f>457534.97+118798.05</f>
        <v>576333.02</v>
      </c>
      <c r="D5" s="12">
        <f>C5+июль!D5</f>
        <v>4490066.0999999996</v>
      </c>
      <c r="E5" s="4">
        <f>453687.65+93547.36</f>
        <v>547235.01</v>
      </c>
      <c r="F5" s="12">
        <f>E5+июль!F5</f>
        <v>4051491.7800000003</v>
      </c>
      <c r="G5" s="12">
        <f t="shared" si="0"/>
        <v>-29098.010000000009</v>
      </c>
      <c r="H5" s="14">
        <f t="shared" si="1"/>
        <v>-438574.31999999937</v>
      </c>
      <c r="I5" s="4"/>
      <c r="J5" s="14">
        <f>I5+июль!J5</f>
        <v>0</v>
      </c>
      <c r="K5" s="3"/>
      <c r="L5" s="12">
        <f>K5+июль!L5</f>
        <v>0</v>
      </c>
      <c r="M5" s="14">
        <f t="shared" si="2"/>
        <v>0</v>
      </c>
    </row>
    <row r="6" spans="1:13">
      <c r="A6" s="1">
        <f t="shared" si="3"/>
        <v>4</v>
      </c>
      <c r="B6" s="41" t="str">
        <f>июль!B6</f>
        <v>Газ</v>
      </c>
      <c r="C6" s="3">
        <f>7959.7+10854.16</f>
        <v>18813.86</v>
      </c>
      <c r="D6" s="12">
        <f>C6+июль!D6</f>
        <v>141892.78</v>
      </c>
      <c r="E6" s="4">
        <f>5593.08+5672.56</f>
        <v>11265.64</v>
      </c>
      <c r="F6" s="12">
        <f>E6+июль!F6</f>
        <v>88881.01</v>
      </c>
      <c r="G6" s="12">
        <f t="shared" si="0"/>
        <v>-7548.2200000000012</v>
      </c>
      <c r="H6" s="14">
        <f t="shared" si="1"/>
        <v>-53011.770000000004</v>
      </c>
      <c r="I6" s="4"/>
      <c r="J6" s="14">
        <f>I6+июль!J6</f>
        <v>0</v>
      </c>
      <c r="K6" s="3"/>
      <c r="L6" s="12">
        <f>K6+июль!L6</f>
        <v>0</v>
      </c>
      <c r="M6" s="14">
        <f t="shared" si="2"/>
        <v>0</v>
      </c>
    </row>
    <row r="7" spans="1:13">
      <c r="A7" s="1">
        <f t="shared" si="3"/>
        <v>5</v>
      </c>
      <c r="B7" s="41" t="str">
        <f>июль!B7</f>
        <v>Со.и ремонт АППЗ</v>
      </c>
      <c r="C7" s="3">
        <f>4593.01+834.84</f>
        <v>5427.85</v>
      </c>
      <c r="D7" s="12">
        <f>C7+июль!D7</f>
        <v>42521.659999999996</v>
      </c>
      <c r="E7" s="4">
        <f>4749.78+811.22</f>
        <v>5561</v>
      </c>
      <c r="F7" s="12">
        <f>E7+июль!F7</f>
        <v>41185.379999999997</v>
      </c>
      <c r="G7" s="12">
        <f t="shared" si="0"/>
        <v>133.14999999999964</v>
      </c>
      <c r="H7" s="14">
        <f t="shared" si="1"/>
        <v>-1336.2799999999988</v>
      </c>
      <c r="I7" s="4"/>
      <c r="J7" s="14">
        <f>I7+июль!J7</f>
        <v>0</v>
      </c>
      <c r="K7" s="3"/>
      <c r="L7" s="12">
        <f>K7+июль!L7</f>
        <v>0</v>
      </c>
      <c r="M7" s="14">
        <f t="shared" si="2"/>
        <v>0</v>
      </c>
    </row>
    <row r="8" spans="1:13">
      <c r="A8" s="1">
        <f t="shared" si="3"/>
        <v>6</v>
      </c>
      <c r="B8" s="41" t="str">
        <f>июль!B8</f>
        <v>Сод.и ремонт лифтов</v>
      </c>
      <c r="C8" s="3">
        <f>26825.68+4982.88</f>
        <v>31808.560000000001</v>
      </c>
      <c r="D8" s="12">
        <f>C8+июль!D8</f>
        <v>267982.5</v>
      </c>
      <c r="E8" s="4">
        <f>28861.5+5156.84</f>
        <v>34018.339999999997</v>
      </c>
      <c r="F8" s="12">
        <f>E8+июль!F8</f>
        <v>266518.82999999996</v>
      </c>
      <c r="G8" s="12">
        <f t="shared" si="0"/>
        <v>2209.7799999999952</v>
      </c>
      <c r="H8" s="14">
        <f t="shared" si="1"/>
        <v>-1463.6700000000419</v>
      </c>
      <c r="I8" s="4"/>
      <c r="J8" s="14">
        <f>I8+июль!J8</f>
        <v>0</v>
      </c>
      <c r="K8" s="3"/>
      <c r="L8" s="12">
        <f>K8+июль!L8</f>
        <v>0</v>
      </c>
      <c r="M8" s="14">
        <f t="shared" si="2"/>
        <v>0</v>
      </c>
    </row>
    <row r="9" spans="1:13">
      <c r="A9" s="1">
        <f t="shared" si="3"/>
        <v>7</v>
      </c>
      <c r="B9" s="41" t="str">
        <f>июль!B9</f>
        <v>Очистка мусоропроводов</v>
      </c>
      <c r="C9" s="3">
        <f>16198.92+3016.79</f>
        <v>19215.71</v>
      </c>
      <c r="D9" s="12">
        <f>C9+июль!D9</f>
        <v>138833.9</v>
      </c>
      <c r="E9" s="4">
        <f>16496.33+2832.69</f>
        <v>19329.02</v>
      </c>
      <c r="F9" s="12">
        <f>E9+июль!F9</f>
        <v>132168.75</v>
      </c>
      <c r="G9" s="12">
        <f t="shared" si="0"/>
        <v>113.31000000000131</v>
      </c>
      <c r="H9" s="14">
        <f t="shared" si="1"/>
        <v>-6665.1499999999942</v>
      </c>
      <c r="I9" s="4"/>
      <c r="J9" s="14">
        <f>I9+июль!J9</f>
        <v>0</v>
      </c>
      <c r="K9" s="3"/>
      <c r="L9" s="12">
        <f>K9+июль!L9</f>
        <v>0</v>
      </c>
      <c r="M9" s="14">
        <f t="shared" si="2"/>
        <v>0</v>
      </c>
    </row>
    <row r="10" spans="1:13" ht="12.75" customHeight="1">
      <c r="A10" s="1">
        <f t="shared" si="3"/>
        <v>8</v>
      </c>
      <c r="B10" s="41" t="str">
        <f>июль!B10</f>
        <v>Уборка и сан.очистка зем.уч.</v>
      </c>
      <c r="C10" s="3">
        <f>48877.16+10577.21</f>
        <v>59454.37</v>
      </c>
      <c r="D10" s="12">
        <f>C10+июль!D10</f>
        <v>451296.87</v>
      </c>
      <c r="E10" s="4">
        <f>48797.64+8193.28</f>
        <v>56990.92</v>
      </c>
      <c r="F10" s="12">
        <f>E10+июль!F10</f>
        <v>417123.37999999995</v>
      </c>
      <c r="G10" s="12">
        <f t="shared" si="0"/>
        <v>-2463.4500000000044</v>
      </c>
      <c r="H10" s="14">
        <f t="shared" si="1"/>
        <v>-34173.490000000049</v>
      </c>
      <c r="I10" s="4"/>
      <c r="J10" s="14">
        <f>I10+июль!J10</f>
        <v>0</v>
      </c>
      <c r="K10" s="3"/>
      <c r="L10" s="12">
        <f>K10+июль!L10</f>
        <v>0</v>
      </c>
      <c r="M10" s="14">
        <f t="shared" si="2"/>
        <v>0</v>
      </c>
    </row>
    <row r="11" spans="1:13" ht="15" customHeight="1">
      <c r="A11" s="1">
        <f t="shared" si="3"/>
        <v>9</v>
      </c>
      <c r="B11" s="41" t="str">
        <f>июль!B11</f>
        <v>Электроснабжение (инд.потр)</v>
      </c>
      <c r="C11" s="3">
        <f>276954.73+58948.76</f>
        <v>335903.49</v>
      </c>
      <c r="D11" s="12">
        <f>C11+июль!D11</f>
        <v>2587292.3099999996</v>
      </c>
      <c r="E11" s="4">
        <f>263984.29+47855.35</f>
        <v>311839.63999999996</v>
      </c>
      <c r="F11" s="12">
        <f>E11+июль!F11</f>
        <v>2404928.9000000004</v>
      </c>
      <c r="G11" s="12">
        <f t="shared" si="0"/>
        <v>-24063.850000000035</v>
      </c>
      <c r="H11" s="14">
        <f t="shared" si="1"/>
        <v>-182363.40999999922</v>
      </c>
      <c r="I11" s="4"/>
      <c r="J11" s="14">
        <f>I11+июль!J11</f>
        <v>0</v>
      </c>
      <c r="K11" s="3"/>
      <c r="L11" s="12">
        <f>K11+июль!L11</f>
        <v>0</v>
      </c>
      <c r="M11" s="14">
        <f t="shared" si="2"/>
        <v>0</v>
      </c>
    </row>
    <row r="12" spans="1:13">
      <c r="A12" s="1">
        <f t="shared" si="3"/>
        <v>10</v>
      </c>
      <c r="B12" s="41" t="str">
        <f>июль!B12</f>
        <v>Холодная вода</v>
      </c>
      <c r="C12" s="3">
        <f>241018.35+65830.54</f>
        <v>306848.89</v>
      </c>
      <c r="D12" s="12">
        <f>C12+июль!D12</f>
        <v>2224663.92</v>
      </c>
      <c r="E12" s="4">
        <f>233076.67+47157.42</f>
        <v>280234.09000000003</v>
      </c>
      <c r="F12" s="12">
        <f>E12+июль!F12</f>
        <v>1929954.99</v>
      </c>
      <c r="G12" s="12">
        <f t="shared" si="0"/>
        <v>-26614.799999999988</v>
      </c>
      <c r="H12" s="14">
        <f t="shared" si="1"/>
        <v>-294708.92999999993</v>
      </c>
      <c r="I12" s="4"/>
      <c r="J12" s="14">
        <f>I12+июль!J12</f>
        <v>0</v>
      </c>
      <c r="K12" s="3"/>
      <c r="L12" s="12">
        <f>K12+июль!L12</f>
        <v>0</v>
      </c>
      <c r="M12" s="14">
        <f t="shared" si="2"/>
        <v>0</v>
      </c>
    </row>
    <row r="13" spans="1:13">
      <c r="A13" s="1">
        <f t="shared" si="3"/>
        <v>11</v>
      </c>
      <c r="B13" s="61" t="str">
        <f>июль!B13</f>
        <v>Канализирование х. воды</v>
      </c>
      <c r="C13" s="3">
        <v>0</v>
      </c>
      <c r="D13" s="12">
        <f>C13+июль!D13</f>
        <v>-2210.14</v>
      </c>
      <c r="E13" s="4">
        <v>387.78</v>
      </c>
      <c r="F13" s="12">
        <f>E13+июль!F13</f>
        <v>3446.08</v>
      </c>
      <c r="G13" s="12">
        <f t="shared" si="0"/>
        <v>387.78</v>
      </c>
      <c r="H13" s="14">
        <f t="shared" si="1"/>
        <v>5656.2199999999993</v>
      </c>
      <c r="I13" s="4"/>
      <c r="J13" s="14">
        <f>I13+июль!J13</f>
        <v>0</v>
      </c>
      <c r="K13" s="3"/>
      <c r="L13" s="12">
        <f>K13+июль!L13</f>
        <v>0</v>
      </c>
      <c r="M13" s="14">
        <f t="shared" si="2"/>
        <v>0</v>
      </c>
    </row>
    <row r="14" spans="1:13">
      <c r="A14" s="1">
        <f t="shared" si="3"/>
        <v>12</v>
      </c>
      <c r="B14" s="41" t="str">
        <f>июль!B14</f>
        <v>Канализирование г. воды</v>
      </c>
      <c r="C14" s="3">
        <v>0</v>
      </c>
      <c r="D14" s="12">
        <f>C14+июль!D14</f>
        <v>-1504.92</v>
      </c>
      <c r="E14" s="4">
        <v>264.31</v>
      </c>
      <c r="F14" s="12">
        <f>E14+июль!F14</f>
        <v>1871.43</v>
      </c>
      <c r="G14" s="12">
        <f t="shared" si="0"/>
        <v>264.31</v>
      </c>
      <c r="H14" s="14">
        <f t="shared" si="1"/>
        <v>3376.3500000000004</v>
      </c>
      <c r="I14" s="4"/>
      <c r="J14" s="14">
        <f>I14+июль!J14</f>
        <v>0</v>
      </c>
      <c r="K14" s="3"/>
      <c r="L14" s="12">
        <f>K14+июль!L14</f>
        <v>0</v>
      </c>
      <c r="M14" s="14">
        <f t="shared" si="2"/>
        <v>0</v>
      </c>
    </row>
    <row r="15" spans="1:13">
      <c r="A15" s="1">
        <f t="shared" si="3"/>
        <v>13</v>
      </c>
      <c r="B15" s="41" t="str">
        <f>июль!B15</f>
        <v>Тек.рем.общ.имущ.дома</v>
      </c>
      <c r="C15" s="3">
        <f>161451.07+34938.37</f>
        <v>196389.44</v>
      </c>
      <c r="D15" s="12">
        <f>C15+июль!D15</f>
        <v>1519374.2</v>
      </c>
      <c r="E15" s="4">
        <f>162806.9+27329</f>
        <v>190135.9</v>
      </c>
      <c r="F15" s="12">
        <f>E15+июль!F15</f>
        <v>1422987.7699999998</v>
      </c>
      <c r="G15" s="12">
        <f t="shared" si="0"/>
        <v>-6253.5400000000081</v>
      </c>
      <c r="H15" s="14">
        <f t="shared" si="1"/>
        <v>-96386.430000000168</v>
      </c>
      <c r="I15" s="4"/>
      <c r="J15" s="14">
        <f>I15+июль!J15</f>
        <v>0</v>
      </c>
      <c r="K15" s="3"/>
      <c r="L15" s="12">
        <f>K15+июль!L15</f>
        <v>0</v>
      </c>
      <c r="M15" s="14">
        <f t="shared" si="2"/>
        <v>0</v>
      </c>
    </row>
    <row r="16" spans="1:13">
      <c r="A16" s="1">
        <f t="shared" si="3"/>
        <v>14</v>
      </c>
      <c r="B16" s="41" t="str">
        <f>июль!B16</f>
        <v>Сод.и тек.рем.в/дом.газосн.</v>
      </c>
      <c r="C16" s="3">
        <f>10259.14+2176.61</f>
        <v>12435.75</v>
      </c>
      <c r="D16" s="12">
        <f>C16+июль!D16</f>
        <v>95105.63</v>
      </c>
      <c r="E16" s="4">
        <f>9891.57+1539.74</f>
        <v>11431.31</v>
      </c>
      <c r="F16" s="12">
        <f>E16+июль!F16</f>
        <v>87388.87</v>
      </c>
      <c r="G16" s="12">
        <f t="shared" si="0"/>
        <v>-1004.4400000000005</v>
      </c>
      <c r="H16" s="14">
        <f t="shared" si="1"/>
        <v>-7716.7600000000093</v>
      </c>
      <c r="I16" s="4"/>
      <c r="J16" s="14">
        <f>I16+июль!J16</f>
        <v>0</v>
      </c>
      <c r="K16" s="3"/>
      <c r="L16" s="12">
        <f>K16+июль!L16</f>
        <v>0</v>
      </c>
      <c r="M16" s="14">
        <f t="shared" si="2"/>
        <v>0</v>
      </c>
    </row>
    <row r="17" spans="1:13">
      <c r="A17" s="1">
        <f t="shared" si="3"/>
        <v>15</v>
      </c>
      <c r="B17" s="41" t="str">
        <f>июль!B17</f>
        <v>Управление многокв.домом</v>
      </c>
      <c r="C17" s="3">
        <f>77694.24+16809.81</f>
        <v>94504.05</v>
      </c>
      <c r="D17" s="12">
        <f>C17+июль!D17</f>
        <v>654505.19000000006</v>
      </c>
      <c r="E17" s="4">
        <f>75840.34+12569.93</f>
        <v>88410.26999999999</v>
      </c>
      <c r="F17" s="12">
        <f>E17+июль!F17</f>
        <v>591180.87</v>
      </c>
      <c r="G17" s="12">
        <f t="shared" si="0"/>
        <v>-6093.7800000000134</v>
      </c>
      <c r="H17" s="14">
        <f t="shared" si="1"/>
        <v>-63324.320000000065</v>
      </c>
      <c r="I17" s="4"/>
      <c r="J17" s="14">
        <f>I17+июль!J17</f>
        <v>0</v>
      </c>
      <c r="K17" s="3"/>
      <c r="L17" s="12">
        <f>K17+июль!L17</f>
        <v>0</v>
      </c>
      <c r="M17" s="14">
        <f t="shared" si="2"/>
        <v>0</v>
      </c>
    </row>
    <row r="18" spans="1:13">
      <c r="A18" s="1">
        <f t="shared" si="3"/>
        <v>16</v>
      </c>
      <c r="B18" s="41" t="str">
        <f>июль!B18</f>
        <v>Водоотведение (кв)</v>
      </c>
      <c r="C18" s="3">
        <f>372450.44+99967.74</f>
        <v>472418.18</v>
      </c>
      <c r="D18" s="12">
        <f>C18+июль!D18</f>
        <v>3484509.49</v>
      </c>
      <c r="E18" s="4">
        <f>362710.08+73133.76</f>
        <v>435843.84000000003</v>
      </c>
      <c r="F18" s="12">
        <f>E18+июль!F18</f>
        <v>3070236.53</v>
      </c>
      <c r="G18" s="12">
        <f t="shared" si="0"/>
        <v>-36574.339999999967</v>
      </c>
      <c r="H18" s="14">
        <f t="shared" si="1"/>
        <v>-414272.96000000043</v>
      </c>
      <c r="I18" s="4"/>
      <c r="J18" s="14">
        <f>I18+июль!J18</f>
        <v>0</v>
      </c>
      <c r="K18" s="3"/>
      <c r="L18" s="12">
        <f>K18+июль!L18</f>
        <v>0</v>
      </c>
      <c r="M18" s="14">
        <f t="shared" si="2"/>
        <v>0</v>
      </c>
    </row>
    <row r="19" spans="1:13" ht="15.75" customHeight="1">
      <c r="A19" s="1">
        <f t="shared" si="3"/>
        <v>17</v>
      </c>
      <c r="B19" s="41" t="str">
        <f>июль!B19</f>
        <v>Электроснабж.на общед.нужды</v>
      </c>
      <c r="C19" s="3">
        <f>5992.83+1015.53</f>
        <v>7008.36</v>
      </c>
      <c r="D19" s="12">
        <f>C19+июль!D19</f>
        <v>54475.210000000006</v>
      </c>
      <c r="E19" s="4">
        <f>5776.57+962.35</f>
        <v>6738.92</v>
      </c>
      <c r="F19" s="12">
        <f>E19+июль!F19</f>
        <v>53431.659999999996</v>
      </c>
      <c r="G19" s="12">
        <f t="shared" si="0"/>
        <v>-269.4399999999996</v>
      </c>
      <c r="H19" s="14">
        <f t="shared" si="1"/>
        <v>-1043.5500000000102</v>
      </c>
      <c r="I19" s="4"/>
      <c r="J19" s="14">
        <f>I19+июль!J19</f>
        <v>0</v>
      </c>
      <c r="K19" s="3"/>
      <c r="L19" s="12">
        <f>K19+июль!L19</f>
        <v>0</v>
      </c>
      <c r="M19" s="14">
        <f t="shared" si="2"/>
        <v>0</v>
      </c>
    </row>
    <row r="20" spans="1:13">
      <c r="A20" s="1">
        <f t="shared" si="3"/>
        <v>18</v>
      </c>
      <c r="B20" s="41" t="str">
        <f>июль!B20</f>
        <v>Эксплуатация общед. ПУ</v>
      </c>
      <c r="C20" s="3">
        <f>14993.9+2819.65</f>
        <v>17813.55</v>
      </c>
      <c r="D20" s="12">
        <f>C20+июль!D20</f>
        <v>137197.51</v>
      </c>
      <c r="E20" s="4">
        <f>14975.27+2423.44</f>
        <v>17398.71</v>
      </c>
      <c r="F20" s="12">
        <f>E20+июль!F20</f>
        <v>130993.22999999998</v>
      </c>
      <c r="G20" s="12">
        <f t="shared" si="0"/>
        <v>-414.84000000000015</v>
      </c>
      <c r="H20" s="14">
        <f t="shared" si="1"/>
        <v>-6204.2800000000279</v>
      </c>
      <c r="I20" s="4"/>
      <c r="J20" s="14">
        <f>I20+июль!J20</f>
        <v>0</v>
      </c>
      <c r="K20" s="3"/>
      <c r="L20" s="12">
        <f>K20+июль!L20</f>
        <v>0</v>
      </c>
      <c r="M20" s="14">
        <f t="shared" si="2"/>
        <v>0</v>
      </c>
    </row>
    <row r="21" spans="1:13">
      <c r="A21" s="1">
        <f t="shared" si="3"/>
        <v>19</v>
      </c>
      <c r="B21" s="41" t="str">
        <f>июль!B21</f>
        <v>Хол.водоснабж.(о/д нужды)</v>
      </c>
      <c r="C21" s="3">
        <f>6018.52+1159.7</f>
        <v>7178.22</v>
      </c>
      <c r="D21" s="12">
        <f>C21+июль!D21</f>
        <v>52630.780000000006</v>
      </c>
      <c r="E21" s="4">
        <f>6560.04+1025.82</f>
        <v>7585.86</v>
      </c>
      <c r="F21" s="12">
        <f>E21+июль!F21</f>
        <v>56450.14</v>
      </c>
      <c r="G21" s="12">
        <f t="shared" si="0"/>
        <v>407.63999999999942</v>
      </c>
      <c r="H21" s="14">
        <f t="shared" si="1"/>
        <v>3819.3599999999933</v>
      </c>
      <c r="I21" s="4"/>
      <c r="J21" s="14">
        <f>I21+июль!J21</f>
        <v>0</v>
      </c>
      <c r="K21" s="3"/>
      <c r="L21" s="12">
        <f>K21+июль!L21</f>
        <v>0</v>
      </c>
      <c r="M21" s="14">
        <f t="shared" si="2"/>
        <v>0</v>
      </c>
    </row>
    <row r="22" spans="1:13">
      <c r="A22" s="1">
        <f t="shared" si="3"/>
        <v>20</v>
      </c>
      <c r="B22" s="41" t="str">
        <f>июль!B22</f>
        <v>Водоотведение(о/д нужды)</v>
      </c>
      <c r="C22" s="3">
        <v>0</v>
      </c>
      <c r="D22" s="12">
        <f>C22+июль!D22</f>
        <v>118323.09999999999</v>
      </c>
      <c r="E22" s="4">
        <v>0</v>
      </c>
      <c r="F22" s="12">
        <f>E22+июль!F22</f>
        <v>153221.59</v>
      </c>
      <c r="G22" s="12">
        <f t="shared" si="0"/>
        <v>0</v>
      </c>
      <c r="H22" s="14">
        <f t="shared" si="1"/>
        <v>34898.490000000005</v>
      </c>
      <c r="I22" s="4"/>
      <c r="J22" s="14">
        <f>I22+июль!J22</f>
        <v>0</v>
      </c>
      <c r="K22" s="3"/>
      <c r="L22" s="12">
        <f>K22+июль!L22</f>
        <v>0</v>
      </c>
      <c r="M22" s="14">
        <f t="shared" si="2"/>
        <v>0</v>
      </c>
    </row>
    <row r="23" spans="1:13">
      <c r="A23" s="1">
        <f t="shared" si="3"/>
        <v>21</v>
      </c>
      <c r="B23" s="41" t="str">
        <f>июль!B23</f>
        <v>Отопление (о/д нужды)</v>
      </c>
      <c r="C23" s="3">
        <v>0</v>
      </c>
      <c r="D23" s="12">
        <f>C23+июль!D23</f>
        <v>-848.48</v>
      </c>
      <c r="E23" s="4">
        <v>8.93</v>
      </c>
      <c r="F23" s="12">
        <f>E23+июль!F23</f>
        <v>1372.3000000000002</v>
      </c>
      <c r="G23" s="12">
        <f t="shared" si="0"/>
        <v>8.93</v>
      </c>
      <c r="H23" s="14">
        <f t="shared" si="1"/>
        <v>2220.7800000000002</v>
      </c>
      <c r="I23" s="4"/>
      <c r="J23" s="14">
        <f>I23+июль!J23</f>
        <v>0</v>
      </c>
      <c r="K23" s="3"/>
      <c r="L23" s="12">
        <f>K23+июль!L23</f>
        <v>0</v>
      </c>
      <c r="M23" s="14">
        <f t="shared" si="2"/>
        <v>0</v>
      </c>
    </row>
    <row r="24" spans="1:13" ht="15.75" customHeight="1">
      <c r="A24" s="1">
        <f t="shared" si="3"/>
        <v>22</v>
      </c>
      <c r="B24" s="41" t="str">
        <f>июль!B24</f>
        <v>Электроснабжение (общед.н)</v>
      </c>
      <c r="C24" s="3">
        <f>85895+15093.23+8945.51</f>
        <v>109933.73999999999</v>
      </c>
      <c r="D24" s="12">
        <f>C24+июль!D24</f>
        <v>1371771.51</v>
      </c>
      <c r="E24" s="4">
        <f>99408.47+18447.9+8927.92</f>
        <v>126784.29</v>
      </c>
      <c r="F24" s="12">
        <f>E24+июль!F24</f>
        <v>1498833.4</v>
      </c>
      <c r="G24" s="12">
        <f t="shared" si="0"/>
        <v>16850.550000000003</v>
      </c>
      <c r="H24" s="14">
        <f t="shared" si="1"/>
        <v>127061.8899999999</v>
      </c>
      <c r="I24" s="4"/>
      <c r="J24" s="14">
        <f>I24+июль!J24</f>
        <v>0</v>
      </c>
      <c r="K24" s="3"/>
      <c r="L24" s="12">
        <f>K24+июль!L24</f>
        <v>0</v>
      </c>
      <c r="M24" s="14">
        <f t="shared" si="2"/>
        <v>0</v>
      </c>
    </row>
    <row r="25" spans="1:13">
      <c r="A25" s="1">
        <f t="shared" si="3"/>
        <v>23</v>
      </c>
      <c r="B25" s="41" t="str">
        <f>июль!B25</f>
        <v>Гор.водоснабж.(о/д нужды)</v>
      </c>
      <c r="C25" s="3">
        <f>11622.92+2287.93</f>
        <v>13910.85</v>
      </c>
      <c r="D25" s="12">
        <f>C25+июль!D25</f>
        <v>131943.34</v>
      </c>
      <c r="E25" s="4">
        <f>11993.36+2091.74</f>
        <v>14085.1</v>
      </c>
      <c r="F25" s="12">
        <f>E25+июль!F25</f>
        <v>132025.66999999998</v>
      </c>
      <c r="G25" s="12">
        <f t="shared" si="0"/>
        <v>174.25</v>
      </c>
      <c r="H25" s="14">
        <f t="shared" si="1"/>
        <v>82.329999999987194</v>
      </c>
      <c r="I25" s="4"/>
      <c r="J25" s="14">
        <f>I25+июль!J25</f>
        <v>0</v>
      </c>
      <c r="K25" s="3"/>
      <c r="L25" s="12">
        <f>K25+июль!L25</f>
        <v>0</v>
      </c>
      <c r="M25" s="14">
        <f t="shared" si="2"/>
        <v>0</v>
      </c>
    </row>
    <row r="26" spans="1:13">
      <c r="A26" s="1">
        <f t="shared" si="3"/>
        <v>24</v>
      </c>
      <c r="B26" s="41" t="str">
        <f>июль!B26</f>
        <v>Капитальный ремонт</v>
      </c>
      <c r="C26" s="3">
        <v>0</v>
      </c>
      <c r="D26" s="12">
        <f>C26+июль!D26</f>
        <v>0</v>
      </c>
      <c r="E26" s="4">
        <v>0</v>
      </c>
      <c r="F26" s="12">
        <f>E26+июль!F26</f>
        <v>0</v>
      </c>
      <c r="G26" s="12">
        <f t="shared" si="0"/>
        <v>0</v>
      </c>
      <c r="H26" s="14">
        <f t="shared" si="1"/>
        <v>0</v>
      </c>
      <c r="I26" s="4"/>
      <c r="J26" s="14">
        <f>I26+июль!J26</f>
        <v>0</v>
      </c>
      <c r="K26" s="3"/>
      <c r="L26" s="12">
        <f>K26+июль!L26</f>
        <v>0</v>
      </c>
      <c r="M26" s="14">
        <f t="shared" si="2"/>
        <v>0</v>
      </c>
    </row>
    <row r="27" spans="1:13">
      <c r="A27" s="1">
        <f>A26+1</f>
        <v>25</v>
      </c>
      <c r="B27" s="41" t="str">
        <f>июль!B27</f>
        <v>Уборка лестн. Кл</v>
      </c>
      <c r="C27" s="3">
        <v>0</v>
      </c>
      <c r="D27" s="12">
        <f>C27+июль!D27</f>
        <v>4670.8500000000004</v>
      </c>
      <c r="E27" s="4">
        <v>0</v>
      </c>
      <c r="F27" s="12">
        <f>E27+июль!F27</f>
        <v>2749.94</v>
      </c>
      <c r="G27" s="12">
        <f t="shared" si="0"/>
        <v>0</v>
      </c>
      <c r="H27" s="14">
        <f>F27-D27</f>
        <v>-1920.9100000000003</v>
      </c>
      <c r="I27" s="4"/>
      <c r="J27" s="14">
        <f>I27+июль!J27</f>
        <v>0</v>
      </c>
      <c r="K27" s="3"/>
      <c r="L27" s="12">
        <f>K27+июль!L27</f>
        <v>0</v>
      </c>
      <c r="M27" s="14">
        <f t="shared" si="2"/>
        <v>0</v>
      </c>
    </row>
    <row r="28" spans="1:13">
      <c r="A28" s="1">
        <v>26</v>
      </c>
      <c r="B28" s="41" t="str">
        <f>июль!B28</f>
        <v>повыш.коэф.к коммм.</v>
      </c>
      <c r="C28" s="3">
        <v>0</v>
      </c>
      <c r="D28" s="12">
        <f>C28+июль!D28</f>
        <v>0</v>
      </c>
      <c r="E28" s="3">
        <v>0</v>
      </c>
      <c r="F28" s="12">
        <f>E28+июль!F28</f>
        <v>0</v>
      </c>
      <c r="G28" s="12">
        <f t="shared" si="0"/>
        <v>0</v>
      </c>
      <c r="H28" s="14">
        <f>F28-D28</f>
        <v>0</v>
      </c>
      <c r="I28" s="4"/>
      <c r="J28" s="14">
        <f>I28+июль!J28</f>
        <v>0</v>
      </c>
      <c r="K28" s="3"/>
      <c r="L28" s="12">
        <f>K28+июль!L28</f>
        <v>0</v>
      </c>
      <c r="M28" s="14">
        <f t="shared" ref="M28" si="4">J28-L28</f>
        <v>0</v>
      </c>
    </row>
    <row r="29" spans="1:13">
      <c r="A29" s="18"/>
      <c r="B29" s="19" t="s">
        <v>12</v>
      </c>
      <c r="C29" s="13">
        <f>SUM(C3:C28)</f>
        <v>2679553.6</v>
      </c>
      <c r="D29" s="12">
        <f t="shared" ref="D29:M29" si="5">SUM(D3:D28)</f>
        <v>26717289.18</v>
      </c>
      <c r="E29" s="13">
        <f t="shared" si="5"/>
        <v>2707162.71</v>
      </c>
      <c r="F29" s="12">
        <f t="shared" si="5"/>
        <v>25920608.630000006</v>
      </c>
      <c r="G29" s="12">
        <f t="shared" si="5"/>
        <v>27609.110000000008</v>
      </c>
      <c r="H29" s="12">
        <f t="shared" si="5"/>
        <v>-796680.54999999888</v>
      </c>
      <c r="I29" s="12">
        <f t="shared" si="5"/>
        <v>0</v>
      </c>
      <c r="J29" s="12">
        <f t="shared" si="5"/>
        <v>0</v>
      </c>
      <c r="K29" s="12">
        <f t="shared" si="5"/>
        <v>0</v>
      </c>
      <c r="L29" s="12">
        <f t="shared" si="5"/>
        <v>0</v>
      </c>
      <c r="M29" s="12">
        <f t="shared" si="5"/>
        <v>0</v>
      </c>
    </row>
    <row r="31" spans="1:13">
      <c r="B31" s="57" t="s">
        <v>42</v>
      </c>
      <c r="C31" s="58">
        <f>C12+C13+C14+C18+C21+C22</f>
        <v>786445.29</v>
      </c>
      <c r="D31" s="58">
        <f t="shared" ref="D31:L31" si="6">D12+D13+D14+D18+D21+D22</f>
        <v>5876412.2299999995</v>
      </c>
      <c r="E31" s="58">
        <f t="shared" si="6"/>
        <v>724315.88</v>
      </c>
      <c r="F31" s="58">
        <f t="shared" si="6"/>
        <v>5215180.7599999988</v>
      </c>
      <c r="G31" s="58">
        <f t="shared" si="6"/>
        <v>-62129.40999999996</v>
      </c>
      <c r="H31" s="58">
        <f t="shared" si="6"/>
        <v>-661231.47000000044</v>
      </c>
      <c r="I31" s="58">
        <f t="shared" si="6"/>
        <v>0</v>
      </c>
      <c r="J31" s="58">
        <f t="shared" si="6"/>
        <v>0</v>
      </c>
      <c r="K31" s="58">
        <f t="shared" si="6"/>
        <v>0</v>
      </c>
      <c r="L31" s="58">
        <f t="shared" si="6"/>
        <v>0</v>
      </c>
    </row>
    <row r="32" spans="1:13">
      <c r="B32" s="57" t="s">
        <v>43</v>
      </c>
      <c r="C32" s="58">
        <f t="shared" ref="C32:L32" si="7">C11+C24+C19</f>
        <v>452845.58999999997</v>
      </c>
      <c r="D32" s="58">
        <f t="shared" si="7"/>
        <v>4013539.0299999993</v>
      </c>
      <c r="E32" s="58">
        <f t="shared" si="7"/>
        <v>445362.84999999992</v>
      </c>
      <c r="F32" s="58">
        <f t="shared" si="7"/>
        <v>3957193.9600000004</v>
      </c>
      <c r="G32" s="58">
        <f t="shared" si="7"/>
        <v>-7482.7400000000316</v>
      </c>
      <c r="H32" s="58">
        <f t="shared" si="7"/>
        <v>-56345.06999999933</v>
      </c>
      <c r="I32" s="58">
        <f t="shared" si="7"/>
        <v>0</v>
      </c>
      <c r="J32" s="58">
        <f t="shared" si="7"/>
        <v>0</v>
      </c>
      <c r="K32" s="58">
        <f t="shared" si="7"/>
        <v>0</v>
      </c>
      <c r="L32" s="58">
        <f t="shared" si="7"/>
        <v>0</v>
      </c>
    </row>
    <row r="33" spans="2:12">
      <c r="B33" s="57" t="s">
        <v>44</v>
      </c>
      <c r="C33" s="58">
        <f>C4+C5+C23+C25</f>
        <v>590243.87</v>
      </c>
      <c r="D33" s="58">
        <f t="shared" ref="D33:L33" si="8">D4+D5+D23+D25</f>
        <v>10426159.629999999</v>
      </c>
      <c r="E33" s="58">
        <f t="shared" si="8"/>
        <v>726324.87000000011</v>
      </c>
      <c r="F33" s="58">
        <f t="shared" si="8"/>
        <v>10834558.08</v>
      </c>
      <c r="G33" s="58">
        <f t="shared" si="8"/>
        <v>136081</v>
      </c>
      <c r="H33" s="58">
        <f t="shared" si="8"/>
        <v>408398.45000000077</v>
      </c>
      <c r="I33" s="58">
        <f t="shared" si="8"/>
        <v>0</v>
      </c>
      <c r="J33" s="58">
        <f t="shared" si="8"/>
        <v>0</v>
      </c>
      <c r="K33" s="58">
        <f t="shared" si="8"/>
        <v>0</v>
      </c>
      <c r="L33" s="58">
        <f t="shared" si="8"/>
        <v>0</v>
      </c>
    </row>
    <row r="36" spans="2:12">
      <c r="C36">
        <f>2159283.76+520269.84</f>
        <v>2679553.5999999996</v>
      </c>
      <c r="E36">
        <f>2269082.1+438080.61</f>
        <v>2707162.71</v>
      </c>
    </row>
    <row r="38" spans="2:12">
      <c r="C38" s="54">
        <f>C29-C36</f>
        <v>0</v>
      </c>
      <c r="E38" s="54">
        <f>E29-E36</f>
        <v>0</v>
      </c>
    </row>
    <row r="39" spans="2:12">
      <c r="G39" s="6"/>
      <c r="H39" s="6"/>
    </row>
  </sheetData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1:M47"/>
  <sheetViews>
    <sheetView workbookViewId="0">
      <selection activeCell="I38" sqref="I38"/>
    </sheetView>
  </sheetViews>
  <sheetFormatPr defaultRowHeight="12.75"/>
  <cols>
    <col min="1" max="1" width="2.7109375" customWidth="1"/>
    <col min="2" max="2" width="29.42578125" customWidth="1"/>
    <col min="3" max="3" width="11.5703125" customWidth="1"/>
    <col min="4" max="4" width="12.140625" customWidth="1"/>
    <col min="5" max="5" width="12.5703125" customWidth="1"/>
    <col min="6" max="6" width="12.140625" customWidth="1"/>
    <col min="7" max="7" width="12" customWidth="1"/>
    <col min="8" max="8" width="13.140625" customWidth="1"/>
    <col min="9" max="9" width="10.140625" bestFit="1" customWidth="1"/>
    <col min="10" max="10" width="12.140625" customWidth="1"/>
    <col min="11" max="11" width="10.140625" bestFit="1" customWidth="1"/>
    <col min="12" max="12" width="11.28515625" customWidth="1"/>
    <col min="13" max="13" width="10.7109375" bestFit="1" customWidth="1"/>
  </cols>
  <sheetData>
    <row r="1" spans="1:13" ht="24" customHeight="1">
      <c r="B1" s="6" t="s">
        <v>56</v>
      </c>
    </row>
    <row r="2" spans="1:13" s="40" customFormat="1" ht="30" customHeight="1">
      <c r="A2" s="43" t="s">
        <v>0</v>
      </c>
      <c r="B2" s="44" t="s">
        <v>1</v>
      </c>
      <c r="C2" s="45" t="s">
        <v>2</v>
      </c>
      <c r="D2" s="46" t="s">
        <v>3</v>
      </c>
      <c r="E2" s="44" t="s">
        <v>4</v>
      </c>
      <c r="F2" s="46" t="s">
        <v>5</v>
      </c>
      <c r="G2" s="46" t="s">
        <v>6</v>
      </c>
      <c r="H2" s="46" t="s">
        <v>7</v>
      </c>
      <c r="I2" s="44" t="s">
        <v>8</v>
      </c>
      <c r="J2" s="46" t="s">
        <v>9</v>
      </c>
      <c r="K2" s="44" t="s">
        <v>10</v>
      </c>
      <c r="L2" s="46" t="s">
        <v>11</v>
      </c>
      <c r="M2" s="80" t="s">
        <v>17</v>
      </c>
    </row>
    <row r="3" spans="1:13" ht="14.1" customHeight="1">
      <c r="A3" s="1">
        <v>1</v>
      </c>
      <c r="B3" s="41" t="str">
        <f>август!B3</f>
        <v>Содержание общ.имущ.дома</v>
      </c>
      <c r="C3" s="3">
        <f>70045.68+323244.21</f>
        <v>393289.89</v>
      </c>
      <c r="D3" s="12">
        <f>C3+август!D3</f>
        <v>3341087.09</v>
      </c>
      <c r="E3" s="4">
        <f>53659.9+327545.26</f>
        <v>381205.16000000003</v>
      </c>
      <c r="F3" s="12">
        <f>E3+август!F3</f>
        <v>3113702.9600000004</v>
      </c>
      <c r="G3" s="12">
        <f>E3-C3</f>
        <v>-12084.729999999981</v>
      </c>
      <c r="H3" s="14">
        <f>F3-D3</f>
        <v>-227384.12999999942</v>
      </c>
      <c r="I3" s="4"/>
      <c r="J3" s="14">
        <f>I3+август!J3</f>
        <v>0</v>
      </c>
      <c r="K3" s="3"/>
      <c r="L3" s="12">
        <f>K3+август!L3</f>
        <v>0</v>
      </c>
      <c r="M3" s="14">
        <f>J3-L3</f>
        <v>0</v>
      </c>
    </row>
    <row r="4" spans="1:13" ht="14.1" customHeight="1">
      <c r="A4" s="1">
        <f>A3+1</f>
        <v>2</v>
      </c>
      <c r="B4" s="41" t="str">
        <f>август!B4</f>
        <v>Отопление</v>
      </c>
      <c r="C4" s="3">
        <v>0</v>
      </c>
      <c r="D4" s="12">
        <f>C4+август!D4</f>
        <v>5804998.6699999999</v>
      </c>
      <c r="E4" s="4">
        <f>14288.73+160173.32</f>
        <v>174462.05000000002</v>
      </c>
      <c r="F4" s="12">
        <f>E4+август!F4</f>
        <v>6824130.3799999999</v>
      </c>
      <c r="G4" s="12">
        <f t="shared" ref="G4:G28" si="0">E4-C4</f>
        <v>174462.05000000002</v>
      </c>
      <c r="H4" s="14">
        <f t="shared" ref="H4:H28" si="1">F4-D4</f>
        <v>1019131.71</v>
      </c>
      <c r="I4" s="4"/>
      <c r="J4" s="14">
        <f>I4+август!J4</f>
        <v>0</v>
      </c>
      <c r="K4" s="3"/>
      <c r="L4" s="12">
        <f>K4+август!L4</f>
        <v>0</v>
      </c>
      <c r="M4" s="14">
        <f t="shared" ref="M4:M28" si="2">J4-L4</f>
        <v>0</v>
      </c>
    </row>
    <row r="5" spans="1:13" ht="14.1" customHeight="1">
      <c r="A5" s="1">
        <f t="shared" ref="A5:A27" si="3">A4+1</f>
        <v>3</v>
      </c>
      <c r="B5" s="41" t="str">
        <f>август!B5</f>
        <v>Горячее водоснабжение</v>
      </c>
      <c r="C5" s="3">
        <f>123435.3+491089.9</f>
        <v>614525.20000000007</v>
      </c>
      <c r="D5" s="12">
        <f>C5+август!D5</f>
        <v>5104591.3</v>
      </c>
      <c r="E5" s="4">
        <f>89006.85+470516.47</f>
        <v>559523.31999999995</v>
      </c>
      <c r="F5" s="12">
        <f>E5+август!F5</f>
        <v>4611015.1000000006</v>
      </c>
      <c r="G5" s="12">
        <f t="shared" si="0"/>
        <v>-55001.880000000121</v>
      </c>
      <c r="H5" s="14">
        <f t="shared" si="1"/>
        <v>-493576.19999999925</v>
      </c>
      <c r="I5" s="4"/>
      <c r="J5" s="14">
        <f>I5+август!J5</f>
        <v>0</v>
      </c>
      <c r="K5" s="3"/>
      <c r="L5" s="12">
        <f>K5+август!L5</f>
        <v>0</v>
      </c>
      <c r="M5" s="14">
        <f t="shared" si="2"/>
        <v>0</v>
      </c>
    </row>
    <row r="6" spans="1:13" ht="14.1" customHeight="1">
      <c r="A6" s="1">
        <f t="shared" si="3"/>
        <v>4</v>
      </c>
      <c r="B6" s="41" t="str">
        <f>август!B6</f>
        <v>Газ</v>
      </c>
      <c r="C6" s="3">
        <f>10854.16+7718.49</f>
        <v>18572.650000000001</v>
      </c>
      <c r="D6" s="12">
        <f>C6+август!D6</f>
        <v>160465.43</v>
      </c>
      <c r="E6" s="4">
        <f>6399.36+4825.62</f>
        <v>11224.98</v>
      </c>
      <c r="F6" s="12">
        <f>E6+август!F6</f>
        <v>100105.98999999999</v>
      </c>
      <c r="G6" s="12">
        <f t="shared" si="0"/>
        <v>-7347.6700000000019</v>
      </c>
      <c r="H6" s="14">
        <f t="shared" si="1"/>
        <v>-60359.44</v>
      </c>
      <c r="I6" s="4"/>
      <c r="J6" s="14">
        <f>I6+август!J6</f>
        <v>0</v>
      </c>
      <c r="K6" s="3"/>
      <c r="L6" s="12">
        <f>K6+август!L6</f>
        <v>0</v>
      </c>
      <c r="M6" s="14">
        <f t="shared" si="2"/>
        <v>0</v>
      </c>
    </row>
    <row r="7" spans="1:13" ht="14.1" customHeight="1">
      <c r="A7" s="1">
        <f t="shared" si="3"/>
        <v>5</v>
      </c>
      <c r="B7" s="41" t="str">
        <f>август!B7</f>
        <v>Со.и ремонт АППЗ</v>
      </c>
      <c r="C7" s="3">
        <f>834.84+4584.68</f>
        <v>5419.52</v>
      </c>
      <c r="D7" s="12">
        <f>C7+август!D7</f>
        <v>47941.179999999993</v>
      </c>
      <c r="E7" s="4">
        <f>686.31+5433.92</f>
        <v>6120.23</v>
      </c>
      <c r="F7" s="12">
        <f>E7+август!F7</f>
        <v>47305.61</v>
      </c>
      <c r="G7" s="12">
        <f t="shared" si="0"/>
        <v>700.70999999999913</v>
      </c>
      <c r="H7" s="14">
        <f t="shared" si="1"/>
        <v>-635.56999999999243</v>
      </c>
      <c r="I7" s="4"/>
      <c r="J7" s="14">
        <f>I7+август!J7</f>
        <v>0</v>
      </c>
      <c r="K7" s="3"/>
      <c r="L7" s="12">
        <f>K7+август!L7</f>
        <v>0</v>
      </c>
      <c r="M7" s="14">
        <f t="shared" si="2"/>
        <v>0</v>
      </c>
    </row>
    <row r="8" spans="1:13" ht="14.1" customHeight="1">
      <c r="A8" s="1">
        <f t="shared" si="3"/>
        <v>6</v>
      </c>
      <c r="B8" s="41" t="str">
        <f>август!B8</f>
        <v>Сод.и ремонт лифтов</v>
      </c>
      <c r="C8" s="3">
        <f>4982.88+26783.89</f>
        <v>31766.77</v>
      </c>
      <c r="D8" s="12">
        <f>C8+август!D8</f>
        <v>299749.27</v>
      </c>
      <c r="E8" s="4">
        <f>4231.16+33108.63</f>
        <v>37339.789999999994</v>
      </c>
      <c r="F8" s="12">
        <f>E8+август!F8</f>
        <v>303858.61999999994</v>
      </c>
      <c r="G8" s="12">
        <f t="shared" si="0"/>
        <v>5573.0199999999932</v>
      </c>
      <c r="H8" s="14">
        <f t="shared" si="1"/>
        <v>4109.3499999999185</v>
      </c>
      <c r="I8" s="4"/>
      <c r="J8" s="14">
        <f>I8+август!J8</f>
        <v>0</v>
      </c>
      <c r="K8" s="3"/>
      <c r="L8" s="12">
        <f>K8+август!L8</f>
        <v>0</v>
      </c>
      <c r="M8" s="14">
        <f t="shared" si="2"/>
        <v>0</v>
      </c>
    </row>
    <row r="9" spans="1:13" ht="14.1" customHeight="1">
      <c r="A9" s="1">
        <f t="shared" si="3"/>
        <v>7</v>
      </c>
      <c r="B9" s="41" t="str">
        <f>август!B9</f>
        <v>Очистка мусоропроводов</v>
      </c>
      <c r="C9" s="3">
        <f>3016.79+16168.85</f>
        <v>19185.64</v>
      </c>
      <c r="D9" s="12">
        <f>C9+август!D9</f>
        <v>158019.53999999998</v>
      </c>
      <c r="E9" s="4">
        <f>2355.77+18423.42</f>
        <v>20779.189999999999</v>
      </c>
      <c r="F9" s="12">
        <f>E9+август!F9</f>
        <v>152947.94</v>
      </c>
      <c r="G9" s="12">
        <f t="shared" si="0"/>
        <v>1593.5499999999993</v>
      </c>
      <c r="H9" s="14">
        <f t="shared" si="1"/>
        <v>-5071.5999999999767</v>
      </c>
      <c r="I9" s="4"/>
      <c r="J9" s="14">
        <f>I9+август!J9</f>
        <v>0</v>
      </c>
      <c r="K9" s="3"/>
      <c r="L9" s="12">
        <f>K9+август!L9</f>
        <v>0</v>
      </c>
      <c r="M9" s="14">
        <f t="shared" si="2"/>
        <v>0</v>
      </c>
    </row>
    <row r="10" spans="1:13" ht="14.1" customHeight="1">
      <c r="A10" s="1">
        <f t="shared" si="3"/>
        <v>8</v>
      </c>
      <c r="B10" s="41" t="str">
        <f>август!B10</f>
        <v>Уборка и сан.очистка зем.уч.</v>
      </c>
      <c r="C10" s="3">
        <f>10577.21+48841.62</f>
        <v>59418.83</v>
      </c>
      <c r="D10" s="12">
        <f>C10+август!D10</f>
        <v>510715.7</v>
      </c>
      <c r="E10" s="4">
        <f>8091.99+49332.78</f>
        <v>57424.77</v>
      </c>
      <c r="F10" s="12">
        <f>E10+август!F10</f>
        <v>474548.14999999997</v>
      </c>
      <c r="G10" s="12">
        <f t="shared" si="0"/>
        <v>-1994.0600000000049</v>
      </c>
      <c r="H10" s="14">
        <f t="shared" si="1"/>
        <v>-36167.550000000047</v>
      </c>
      <c r="I10" s="4"/>
      <c r="J10" s="14">
        <f>I10+август!J10</f>
        <v>0</v>
      </c>
      <c r="K10" s="3"/>
      <c r="L10" s="12">
        <f>K10+август!L10</f>
        <v>0</v>
      </c>
      <c r="M10" s="14">
        <f t="shared" si="2"/>
        <v>0</v>
      </c>
    </row>
    <row r="11" spans="1:13" ht="14.1" customHeight="1">
      <c r="A11" s="1">
        <f t="shared" si="3"/>
        <v>9</v>
      </c>
      <c r="B11" s="41" t="str">
        <f>август!B11</f>
        <v>Электроснабжение (инд.потр)</v>
      </c>
      <c r="C11" s="3">
        <f>66754.96+279265.8</f>
        <v>346020.76</v>
      </c>
      <c r="D11" s="12">
        <f>C11+август!D11</f>
        <v>2933313.0699999994</v>
      </c>
      <c r="E11" s="4">
        <f>52476.1+271460.67</f>
        <v>323936.76999999996</v>
      </c>
      <c r="F11" s="12">
        <f>E11+август!F11</f>
        <v>2728865.6700000004</v>
      </c>
      <c r="G11" s="12">
        <f t="shared" si="0"/>
        <v>-22083.990000000049</v>
      </c>
      <c r="H11" s="14">
        <f t="shared" si="1"/>
        <v>-204447.39999999898</v>
      </c>
      <c r="I11" s="4"/>
      <c r="J11" s="14">
        <f>I11+август!J11</f>
        <v>0</v>
      </c>
      <c r="K11" s="3"/>
      <c r="L11" s="12">
        <f>K11+август!L11</f>
        <v>0</v>
      </c>
      <c r="M11" s="14">
        <f t="shared" si="2"/>
        <v>0</v>
      </c>
    </row>
    <row r="12" spans="1:13" ht="14.1" customHeight="1">
      <c r="A12" s="1">
        <f t="shared" si="3"/>
        <v>10</v>
      </c>
      <c r="B12" s="41" t="str">
        <f>август!B12</f>
        <v>Холодная вода</v>
      </c>
      <c r="C12" s="3">
        <f>67872.81+245980.73</f>
        <v>313853.54000000004</v>
      </c>
      <c r="D12" s="12">
        <f>C12+август!D12</f>
        <v>2538517.46</v>
      </c>
      <c r="E12" s="4">
        <f>48625.12+236278.31</f>
        <v>284903.43</v>
      </c>
      <c r="F12" s="12">
        <f>E12+август!F12</f>
        <v>2214858.42</v>
      </c>
      <c r="G12" s="12">
        <f t="shared" si="0"/>
        <v>-28950.110000000044</v>
      </c>
      <c r="H12" s="14">
        <f t="shared" si="1"/>
        <v>-323659.04000000004</v>
      </c>
      <c r="I12" s="4"/>
      <c r="J12" s="14">
        <f>I12+август!J12</f>
        <v>0</v>
      </c>
      <c r="K12" s="3"/>
      <c r="L12" s="12">
        <f>K12+август!L12</f>
        <v>0</v>
      </c>
      <c r="M12" s="14">
        <f t="shared" si="2"/>
        <v>0</v>
      </c>
    </row>
    <row r="13" spans="1:13" ht="14.1" customHeight="1">
      <c r="A13" s="1">
        <f t="shared" si="3"/>
        <v>11</v>
      </c>
      <c r="B13" s="41" t="str">
        <f>август!B13</f>
        <v>Канализирование х. воды</v>
      </c>
      <c r="C13" s="3">
        <v>0</v>
      </c>
      <c r="D13" s="12">
        <f>C13+август!D13</f>
        <v>-2210.14</v>
      </c>
      <c r="E13" s="4">
        <f>85.03+402.12</f>
        <v>487.15</v>
      </c>
      <c r="F13" s="12">
        <f>E13+август!F13</f>
        <v>3933.23</v>
      </c>
      <c r="G13" s="12">
        <f t="shared" si="0"/>
        <v>487.15</v>
      </c>
      <c r="H13" s="14">
        <f t="shared" si="1"/>
        <v>6143.37</v>
      </c>
      <c r="I13" s="4"/>
      <c r="J13" s="14">
        <f>I13+август!J13</f>
        <v>0</v>
      </c>
      <c r="K13" s="3"/>
      <c r="L13" s="12">
        <f>K13+август!L13</f>
        <v>0</v>
      </c>
      <c r="M13" s="14">
        <f t="shared" si="2"/>
        <v>0</v>
      </c>
    </row>
    <row r="14" spans="1:13" ht="14.1" customHeight="1">
      <c r="A14" s="1">
        <f t="shared" si="3"/>
        <v>12</v>
      </c>
      <c r="B14" s="41" t="str">
        <f>август!B14</f>
        <v>Канализирование г. воды</v>
      </c>
      <c r="C14" s="3">
        <v>0</v>
      </c>
      <c r="D14" s="12">
        <f>C14+август!D14</f>
        <v>-1504.92</v>
      </c>
      <c r="E14" s="4">
        <f>58.91+274.09</f>
        <v>333</v>
      </c>
      <c r="F14" s="12">
        <f>E14+август!F14</f>
        <v>2204.4300000000003</v>
      </c>
      <c r="G14" s="12">
        <f t="shared" si="0"/>
        <v>333</v>
      </c>
      <c r="H14" s="14">
        <f t="shared" si="1"/>
        <v>3709.3500000000004</v>
      </c>
      <c r="I14" s="4"/>
      <c r="J14" s="14">
        <f>I14+август!J14</f>
        <v>0</v>
      </c>
      <c r="K14" s="3"/>
      <c r="L14" s="12">
        <f>K14+август!L14</f>
        <v>0</v>
      </c>
      <c r="M14" s="14">
        <f t="shared" si="2"/>
        <v>0</v>
      </c>
    </row>
    <row r="15" spans="1:13" ht="14.1" customHeight="1">
      <c r="A15" s="1">
        <f t="shared" si="3"/>
        <v>13</v>
      </c>
      <c r="B15" s="41" t="str">
        <f>август!B15</f>
        <v>Тек.рем.общ.имущ.дома</v>
      </c>
      <c r="C15" s="3">
        <f>34938.37+161333.64</f>
        <v>196272.01</v>
      </c>
      <c r="D15" s="12">
        <f>C15+август!D15</f>
        <v>1715646.21</v>
      </c>
      <c r="E15" s="4">
        <f>26941.24+166418.86</f>
        <v>193360.09999999998</v>
      </c>
      <c r="F15" s="12">
        <f>E15+август!F15</f>
        <v>1616347.8699999996</v>
      </c>
      <c r="G15" s="12">
        <f t="shared" si="0"/>
        <v>-2911.9100000000326</v>
      </c>
      <c r="H15" s="14">
        <f t="shared" si="1"/>
        <v>-99298.340000000317</v>
      </c>
      <c r="I15" s="4"/>
      <c r="J15" s="14">
        <f>I15+август!J15</f>
        <v>0</v>
      </c>
      <c r="K15" s="3"/>
      <c r="L15" s="12">
        <f>K15+август!L15</f>
        <v>0</v>
      </c>
      <c r="M15" s="14">
        <f t="shared" si="2"/>
        <v>0</v>
      </c>
    </row>
    <row r="16" spans="1:13" ht="14.1" customHeight="1">
      <c r="A16" s="1">
        <f t="shared" si="3"/>
        <v>14</v>
      </c>
      <c r="B16" s="41" t="str">
        <f>август!B16</f>
        <v>Сод.и тек.рем.в/дом.газосн.</v>
      </c>
      <c r="C16" s="3">
        <f>2176.61+10259.14</f>
        <v>12435.75</v>
      </c>
      <c r="D16" s="12">
        <f>C16+август!D16</f>
        <v>107541.38</v>
      </c>
      <c r="E16" s="4">
        <f>1585.9+9527.66</f>
        <v>11113.56</v>
      </c>
      <c r="F16" s="12">
        <f>E16+август!F16</f>
        <v>98502.43</v>
      </c>
      <c r="G16" s="12">
        <f t="shared" si="0"/>
        <v>-1322.1900000000005</v>
      </c>
      <c r="H16" s="14">
        <f t="shared" si="1"/>
        <v>-9038.9500000000116</v>
      </c>
      <c r="I16" s="4"/>
      <c r="J16" s="14">
        <f>I16+август!J16</f>
        <v>0</v>
      </c>
      <c r="K16" s="3"/>
      <c r="L16" s="12">
        <f>K16+август!L16</f>
        <v>0</v>
      </c>
      <c r="M16" s="14">
        <f t="shared" si="2"/>
        <v>0</v>
      </c>
    </row>
    <row r="17" spans="1:13" ht="14.1" customHeight="1">
      <c r="A17" s="1">
        <f t="shared" si="3"/>
        <v>15</v>
      </c>
      <c r="B17" s="41" t="str">
        <f>август!B17</f>
        <v>Управление многокв.домом</v>
      </c>
      <c r="C17" s="3">
        <f>16809.81+77637.51</f>
        <v>94447.319999999992</v>
      </c>
      <c r="D17" s="12">
        <f>C17+август!D17</f>
        <v>748952.51</v>
      </c>
      <c r="E17" s="4">
        <f>12267.02+75673.17</f>
        <v>87940.19</v>
      </c>
      <c r="F17" s="12">
        <f>E17+август!F17</f>
        <v>679121.06</v>
      </c>
      <c r="G17" s="12">
        <f t="shared" si="0"/>
        <v>-6507.1299999999901</v>
      </c>
      <c r="H17" s="14">
        <f t="shared" si="1"/>
        <v>-69831.449999999953</v>
      </c>
      <c r="I17" s="4"/>
      <c r="J17" s="14">
        <f>I17+август!J17</f>
        <v>0</v>
      </c>
      <c r="K17" s="3"/>
      <c r="L17" s="12">
        <f>K17+август!L17</f>
        <v>0</v>
      </c>
      <c r="M17" s="14">
        <f t="shared" si="2"/>
        <v>0</v>
      </c>
    </row>
    <row r="18" spans="1:13" ht="14.1" customHeight="1">
      <c r="A18" s="1">
        <f>A17+1</f>
        <v>16</v>
      </c>
      <c r="B18" s="41" t="str">
        <f>август!B18</f>
        <v>Водоотведение (кв)</v>
      </c>
      <c r="C18" s="3">
        <f>103330.31+387197.03</f>
        <v>490527.34</v>
      </c>
      <c r="D18" s="12">
        <f>C18+август!D18</f>
        <v>3975036.83</v>
      </c>
      <c r="E18" s="4">
        <f>74494.75+371044.76</f>
        <v>445539.51</v>
      </c>
      <c r="F18" s="12">
        <f>E18+август!F18</f>
        <v>3515776.04</v>
      </c>
      <c r="G18" s="12">
        <f t="shared" si="0"/>
        <v>-44987.830000000016</v>
      </c>
      <c r="H18" s="14">
        <f t="shared" si="1"/>
        <v>-459260.79000000004</v>
      </c>
      <c r="I18" s="4"/>
      <c r="J18" s="14">
        <f>I18+август!J18</f>
        <v>0</v>
      </c>
      <c r="K18" s="3"/>
      <c r="L18" s="12">
        <f>K18+август!L18</f>
        <v>0</v>
      </c>
      <c r="M18" s="14">
        <f t="shared" si="2"/>
        <v>0</v>
      </c>
    </row>
    <row r="19" spans="1:13" ht="14.1" customHeight="1">
      <c r="A19" s="1">
        <f t="shared" si="3"/>
        <v>17</v>
      </c>
      <c r="B19" s="41" t="str">
        <f>август!B19</f>
        <v>Электроснабж.на общед.нужды</v>
      </c>
      <c r="C19" s="3">
        <f>1109.99+5663.03</f>
        <v>6773.0199999999995</v>
      </c>
      <c r="D19" s="12">
        <f>C19+август!D19</f>
        <v>61248.23</v>
      </c>
      <c r="E19" s="4">
        <f>737.84+6726.43</f>
        <v>7464.27</v>
      </c>
      <c r="F19" s="12">
        <f>E19+август!F19</f>
        <v>60895.929999999993</v>
      </c>
      <c r="G19" s="12">
        <f t="shared" si="0"/>
        <v>691.25000000000091</v>
      </c>
      <c r="H19" s="14">
        <f t="shared" si="1"/>
        <v>-352.30000000001019</v>
      </c>
      <c r="I19" s="4"/>
      <c r="J19" s="14">
        <f>I19+август!J19</f>
        <v>0</v>
      </c>
      <c r="K19" s="3"/>
      <c r="L19" s="12">
        <f>K19+август!L19</f>
        <v>0</v>
      </c>
      <c r="M19" s="14">
        <f t="shared" si="2"/>
        <v>0</v>
      </c>
    </row>
    <row r="20" spans="1:13" ht="14.1" customHeight="1">
      <c r="A20" s="1">
        <f t="shared" si="3"/>
        <v>18</v>
      </c>
      <c r="B20" s="41" t="str">
        <f>август!B20</f>
        <v>Эксплуатация общед. ПУ</v>
      </c>
      <c r="C20" s="3">
        <f>2819.65+14981.41</f>
        <v>17801.060000000001</v>
      </c>
      <c r="D20" s="12">
        <f>C20+август!D20</f>
        <v>154998.57</v>
      </c>
      <c r="E20" s="4">
        <f>2136.31+15684.65</f>
        <v>17820.96</v>
      </c>
      <c r="F20" s="12">
        <f>E20+август!F20</f>
        <v>148814.18999999997</v>
      </c>
      <c r="G20" s="12">
        <f t="shared" si="0"/>
        <v>19.899999999997817</v>
      </c>
      <c r="H20" s="14">
        <f t="shared" si="1"/>
        <v>-6184.3800000000338</v>
      </c>
      <c r="I20" s="4"/>
      <c r="J20" s="14">
        <f>I20+август!J20</f>
        <v>0</v>
      </c>
      <c r="K20" s="3"/>
      <c r="L20" s="12">
        <f>K20+август!L20</f>
        <v>0</v>
      </c>
      <c r="M20" s="14">
        <f t="shared" si="2"/>
        <v>0</v>
      </c>
    </row>
    <row r="21" spans="1:13" ht="14.1" customHeight="1">
      <c r="A21" s="1">
        <f t="shared" si="3"/>
        <v>19</v>
      </c>
      <c r="B21" s="41" t="str">
        <f>август!B21</f>
        <v>Хол.водоснабж.(о/д нужды)</v>
      </c>
      <c r="C21" s="3">
        <f>1159.7+6012.81</f>
        <v>7172.51</v>
      </c>
      <c r="D21" s="12">
        <f>C21+август!D21</f>
        <v>59803.290000000008</v>
      </c>
      <c r="E21" s="4">
        <f>1070.64+6865</f>
        <v>7935.64</v>
      </c>
      <c r="F21" s="12">
        <f>E21+август!F21</f>
        <v>64385.78</v>
      </c>
      <c r="G21" s="12">
        <f t="shared" si="0"/>
        <v>763.13000000000011</v>
      </c>
      <c r="H21" s="14">
        <f t="shared" si="1"/>
        <v>4582.4899999999907</v>
      </c>
      <c r="I21" s="4"/>
      <c r="J21" s="14">
        <f>I21+август!J21</f>
        <v>0</v>
      </c>
      <c r="K21" s="3"/>
      <c r="L21" s="12">
        <f>K21+август!L21</f>
        <v>0</v>
      </c>
      <c r="M21" s="14">
        <f t="shared" si="2"/>
        <v>0</v>
      </c>
    </row>
    <row r="22" spans="1:13" ht="14.1" customHeight="1">
      <c r="A22" s="1">
        <f t="shared" si="3"/>
        <v>20</v>
      </c>
      <c r="B22" s="41" t="str">
        <f>август!B22</f>
        <v>Водоотведение(о/д нужды)</v>
      </c>
      <c r="C22" s="3">
        <v>0</v>
      </c>
      <c r="D22" s="12">
        <f>C22+август!D22</f>
        <v>118323.09999999999</v>
      </c>
      <c r="E22" s="4">
        <v>-85.09</v>
      </c>
      <c r="F22" s="12">
        <f>E22+август!F22</f>
        <v>153136.5</v>
      </c>
      <c r="G22" s="12">
        <f t="shared" si="0"/>
        <v>-85.09</v>
      </c>
      <c r="H22" s="14">
        <f t="shared" si="1"/>
        <v>34813.400000000009</v>
      </c>
      <c r="I22" s="4"/>
      <c r="J22" s="14">
        <f>I22+август!J22</f>
        <v>0</v>
      </c>
      <c r="K22" s="3"/>
      <c r="L22" s="12">
        <f>K22+август!L22</f>
        <v>0</v>
      </c>
      <c r="M22" s="14">
        <f t="shared" si="2"/>
        <v>0</v>
      </c>
    </row>
    <row r="23" spans="1:13" ht="14.1" customHeight="1">
      <c r="A23" s="1">
        <f t="shared" si="3"/>
        <v>21</v>
      </c>
      <c r="B23" s="41" t="str">
        <f>август!B23</f>
        <v>Отопление (о/д нужды)</v>
      </c>
      <c r="C23" s="3">
        <v>0</v>
      </c>
      <c r="D23" s="12">
        <f>C23+август!D23</f>
        <v>-848.48</v>
      </c>
      <c r="E23" s="4">
        <v>226.22</v>
      </c>
      <c r="F23" s="12">
        <f>E23+август!F23</f>
        <v>1598.5200000000002</v>
      </c>
      <c r="G23" s="12">
        <f t="shared" si="0"/>
        <v>226.22</v>
      </c>
      <c r="H23" s="14">
        <f t="shared" si="1"/>
        <v>2447</v>
      </c>
      <c r="I23" s="4"/>
      <c r="J23" s="14">
        <f>I23+август!J23</f>
        <v>0</v>
      </c>
      <c r="K23" s="3"/>
      <c r="L23" s="12">
        <f>K23+август!L23</f>
        <v>0</v>
      </c>
      <c r="M23" s="14">
        <f t="shared" si="2"/>
        <v>0</v>
      </c>
    </row>
    <row r="24" spans="1:13" ht="14.1" customHeight="1">
      <c r="A24" s="1">
        <f t="shared" si="3"/>
        <v>22</v>
      </c>
      <c r="B24" s="41" t="str">
        <f>август!B24</f>
        <v>Электроснабжение (общед.н)</v>
      </c>
      <c r="C24" s="3">
        <f>16710.66+87699.18+9383.76</f>
        <v>113793.59999999999</v>
      </c>
      <c r="D24" s="12">
        <f>C24+август!D24</f>
        <v>1485565.11</v>
      </c>
      <c r="E24" s="4">
        <f>12908.9+107850.95+8980.41</f>
        <v>129740.26</v>
      </c>
      <c r="F24" s="12">
        <f>E24+август!F24</f>
        <v>1628573.66</v>
      </c>
      <c r="G24" s="12">
        <f t="shared" si="0"/>
        <v>15946.660000000003</v>
      </c>
      <c r="H24" s="14">
        <f t="shared" si="1"/>
        <v>143008.54999999981</v>
      </c>
      <c r="I24" s="4"/>
      <c r="J24" s="14">
        <f>I24+август!J24</f>
        <v>0</v>
      </c>
      <c r="K24" s="3"/>
      <c r="L24" s="12">
        <f>K24+август!L24</f>
        <v>0</v>
      </c>
      <c r="M24" s="14">
        <f t="shared" si="2"/>
        <v>0</v>
      </c>
    </row>
    <row r="25" spans="1:13" ht="14.1" customHeight="1">
      <c r="A25" s="1">
        <f t="shared" si="3"/>
        <v>23</v>
      </c>
      <c r="B25" s="41" t="str">
        <f>август!B25</f>
        <v>Гор.водоснабж.(о/д нужды)</v>
      </c>
      <c r="C25" s="3">
        <f>2287.93+11609.3</f>
        <v>13897.23</v>
      </c>
      <c r="D25" s="12">
        <f>C25+август!D25</f>
        <v>145840.57</v>
      </c>
      <c r="E25" s="4">
        <f>1591.88+12721.82</f>
        <v>14313.7</v>
      </c>
      <c r="F25" s="12">
        <f>E25+август!F25</f>
        <v>146339.37</v>
      </c>
      <c r="G25" s="12">
        <f t="shared" si="0"/>
        <v>416.47000000000116</v>
      </c>
      <c r="H25" s="14">
        <f t="shared" si="1"/>
        <v>498.79999999998836</v>
      </c>
      <c r="I25" s="4"/>
      <c r="J25" s="14">
        <f>I25+август!J25</f>
        <v>0</v>
      </c>
      <c r="K25" s="3"/>
      <c r="L25" s="12">
        <f>K25+август!L25</f>
        <v>0</v>
      </c>
      <c r="M25" s="14">
        <f t="shared" si="2"/>
        <v>0</v>
      </c>
    </row>
    <row r="26" spans="1:13" ht="14.1" customHeight="1">
      <c r="A26" s="1">
        <f t="shared" si="3"/>
        <v>24</v>
      </c>
      <c r="B26" s="41" t="s">
        <v>40</v>
      </c>
      <c r="C26" s="3">
        <v>0</v>
      </c>
      <c r="D26" s="12">
        <f>C26+август!D26</f>
        <v>0</v>
      </c>
      <c r="E26" s="3">
        <v>0</v>
      </c>
      <c r="F26" s="12">
        <f>E26+август!F26</f>
        <v>0</v>
      </c>
      <c r="G26" s="12">
        <f t="shared" si="0"/>
        <v>0</v>
      </c>
      <c r="H26" s="14">
        <f t="shared" si="1"/>
        <v>0</v>
      </c>
      <c r="I26" s="4"/>
      <c r="J26" s="14">
        <f>I26+август!J26</f>
        <v>0</v>
      </c>
      <c r="K26" s="3"/>
      <c r="L26" s="12">
        <f>K26+август!L26</f>
        <v>0</v>
      </c>
      <c r="M26" s="14">
        <f t="shared" si="2"/>
        <v>0</v>
      </c>
    </row>
    <row r="27" spans="1:13" ht="14.1" customHeight="1">
      <c r="A27" s="1">
        <f t="shared" si="3"/>
        <v>25</v>
      </c>
      <c r="B27" s="41" t="str">
        <f>август!B27</f>
        <v>Уборка лестн. Кл</v>
      </c>
      <c r="C27" s="3">
        <v>0</v>
      </c>
      <c r="D27" s="12">
        <f>C27+август!D27</f>
        <v>4670.8500000000004</v>
      </c>
      <c r="E27" s="3">
        <v>0</v>
      </c>
      <c r="F27" s="12">
        <f>E27+август!F27</f>
        <v>2749.94</v>
      </c>
      <c r="G27" s="12">
        <f t="shared" si="0"/>
        <v>0</v>
      </c>
      <c r="H27" s="14">
        <f t="shared" si="1"/>
        <v>-1920.9100000000003</v>
      </c>
      <c r="I27" s="4"/>
      <c r="J27" s="14">
        <f>I27+август!J27</f>
        <v>0</v>
      </c>
      <c r="K27" s="3"/>
      <c r="L27" s="12">
        <f>K27+август!L27</f>
        <v>0</v>
      </c>
      <c r="M27" s="14">
        <f t="shared" si="2"/>
        <v>0</v>
      </c>
    </row>
    <row r="28" spans="1:13" ht="14.1" customHeight="1">
      <c r="A28" s="1">
        <v>26</v>
      </c>
      <c r="B28" s="41" t="str">
        <f>август!B28</f>
        <v>повыш.коэф.к коммм.</v>
      </c>
      <c r="C28" s="3">
        <v>0</v>
      </c>
      <c r="D28" s="12">
        <f>C28+август!D28</f>
        <v>0</v>
      </c>
      <c r="E28" s="3">
        <v>0</v>
      </c>
      <c r="F28" s="12">
        <f>E28+август!F28</f>
        <v>0</v>
      </c>
      <c r="G28" s="12">
        <f t="shared" si="0"/>
        <v>0</v>
      </c>
      <c r="H28" s="14">
        <f t="shared" si="1"/>
        <v>0</v>
      </c>
      <c r="I28" s="4"/>
      <c r="J28" s="14">
        <f>I28+август!J28</f>
        <v>0</v>
      </c>
      <c r="K28" s="3"/>
      <c r="L28" s="12">
        <f>K28+август!L28</f>
        <v>0</v>
      </c>
      <c r="M28" s="14">
        <f t="shared" si="2"/>
        <v>0</v>
      </c>
    </row>
    <row r="29" spans="1:13" ht="14.1" customHeight="1">
      <c r="A29" s="18"/>
      <c r="B29" s="17" t="s">
        <v>12</v>
      </c>
      <c r="C29" s="13">
        <f>SUM(C3:C28)</f>
        <v>2755172.6399999997</v>
      </c>
      <c r="D29" s="79">
        <f t="shared" ref="D29:M29" si="4">SUM(D3:D28)</f>
        <v>29472461.82</v>
      </c>
      <c r="E29" s="13">
        <f t="shared" si="4"/>
        <v>2773109.1600000006</v>
      </c>
      <c r="F29" s="79">
        <f t="shared" si="4"/>
        <v>28693717.790000007</v>
      </c>
      <c r="G29" s="13">
        <f t="shared" si="4"/>
        <v>17936.519999999775</v>
      </c>
      <c r="H29" s="13">
        <f t="shared" si="4"/>
        <v>-778744.02999999851</v>
      </c>
      <c r="I29" s="13">
        <f t="shared" si="4"/>
        <v>0</v>
      </c>
      <c r="J29" s="13">
        <f t="shared" si="4"/>
        <v>0</v>
      </c>
      <c r="K29" s="13">
        <f t="shared" si="4"/>
        <v>0</v>
      </c>
      <c r="L29" s="13">
        <f t="shared" si="4"/>
        <v>0</v>
      </c>
      <c r="M29" s="13">
        <f t="shared" si="4"/>
        <v>0</v>
      </c>
    </row>
    <row r="30" spans="1:13" ht="6" customHeight="1"/>
    <row r="31" spans="1:13" ht="12" customHeight="1">
      <c r="B31" s="57" t="s">
        <v>42</v>
      </c>
      <c r="C31" s="58">
        <f>C12+C13+C14+C18+C21+C22</f>
        <v>811553.39000000013</v>
      </c>
      <c r="D31" s="58">
        <f t="shared" ref="D31:L31" si="5">D12+D13+D14+D18+D21+D22</f>
        <v>6687965.6200000001</v>
      </c>
      <c r="E31" s="58">
        <f t="shared" si="5"/>
        <v>739113.64000000013</v>
      </c>
      <c r="F31" s="58">
        <f t="shared" si="5"/>
        <v>5954294.4000000004</v>
      </c>
      <c r="G31" s="58">
        <f t="shared" si="5"/>
        <v>-72439.750000000058</v>
      </c>
      <c r="H31" s="58">
        <f t="shared" si="5"/>
        <v>-733671.22000000009</v>
      </c>
      <c r="I31" s="58">
        <f t="shared" si="5"/>
        <v>0</v>
      </c>
      <c r="J31" s="58">
        <f t="shared" si="5"/>
        <v>0</v>
      </c>
      <c r="K31" s="58">
        <f t="shared" si="5"/>
        <v>0</v>
      </c>
      <c r="L31" s="58">
        <f t="shared" si="5"/>
        <v>0</v>
      </c>
    </row>
    <row r="32" spans="1:13" ht="12" customHeight="1">
      <c r="B32" s="57" t="s">
        <v>43</v>
      </c>
      <c r="C32" s="58">
        <f t="shared" ref="C32:L32" si="6">C11+C24+C19</f>
        <v>466587.38</v>
      </c>
      <c r="D32" s="58">
        <f t="shared" si="6"/>
        <v>4480126.41</v>
      </c>
      <c r="E32" s="58">
        <f t="shared" si="6"/>
        <v>461141.3</v>
      </c>
      <c r="F32" s="58">
        <f t="shared" si="6"/>
        <v>4418335.26</v>
      </c>
      <c r="G32" s="58">
        <f t="shared" si="6"/>
        <v>-5446.0800000000445</v>
      </c>
      <c r="H32" s="58">
        <f t="shared" si="6"/>
        <v>-61791.149999999172</v>
      </c>
      <c r="I32" s="58">
        <f t="shared" si="6"/>
        <v>0</v>
      </c>
      <c r="J32" s="58">
        <f t="shared" si="6"/>
        <v>0</v>
      </c>
      <c r="K32" s="58">
        <f t="shared" si="6"/>
        <v>0</v>
      </c>
      <c r="L32" s="58">
        <f t="shared" si="6"/>
        <v>0</v>
      </c>
    </row>
    <row r="33" spans="2:12">
      <c r="B33" s="57" t="s">
        <v>44</v>
      </c>
      <c r="C33" s="58">
        <f>C4+C5+C23+C25</f>
        <v>628422.43000000005</v>
      </c>
      <c r="D33" s="58">
        <f t="shared" ref="D33:L33" si="7">D4+D5+D23+D25</f>
        <v>11054582.059999999</v>
      </c>
      <c r="E33" s="58">
        <f t="shared" si="7"/>
        <v>748525.28999999992</v>
      </c>
      <c r="F33" s="58">
        <f t="shared" si="7"/>
        <v>11583083.369999999</v>
      </c>
      <c r="G33" s="58">
        <f t="shared" si="7"/>
        <v>120102.8599999999</v>
      </c>
      <c r="H33" s="58">
        <f t="shared" si="7"/>
        <v>528501.31000000075</v>
      </c>
      <c r="I33" s="58">
        <f t="shared" si="7"/>
        <v>0</v>
      </c>
      <c r="J33" s="58">
        <f t="shared" si="7"/>
        <v>0</v>
      </c>
      <c r="K33" s="58">
        <f t="shared" si="7"/>
        <v>0</v>
      </c>
      <c r="L33" s="58">
        <f t="shared" si="7"/>
        <v>0</v>
      </c>
    </row>
    <row r="34" spans="2:12">
      <c r="B34" s="55" t="s">
        <v>39</v>
      </c>
      <c r="C34" s="4">
        <f>C3+C7+C8+C9+C10+C15+C16+C17+C20+27+C28</f>
        <v>830063.79000000015</v>
      </c>
      <c r="D34" s="4">
        <f t="shared" ref="D34:H34" si="8">D3+D7+D8+D9+D10+D15+D16+D17+D20+27+D28</f>
        <v>7084678.4500000002</v>
      </c>
      <c r="E34" s="4">
        <f t="shared" si="8"/>
        <v>813130.95</v>
      </c>
      <c r="F34" s="4">
        <f t="shared" si="8"/>
        <v>6635175.830000001</v>
      </c>
      <c r="G34" s="4">
        <f t="shared" si="8"/>
        <v>-16905.840000000022</v>
      </c>
      <c r="H34" s="4">
        <f t="shared" si="8"/>
        <v>-449475.61999999988</v>
      </c>
    </row>
    <row r="37" spans="2:12">
      <c r="C37">
        <f>539717.66+2215454.98</f>
        <v>2755172.64</v>
      </c>
      <c r="E37">
        <f>413614.62+2359494.54</f>
        <v>2773109.16</v>
      </c>
    </row>
    <row r="41" spans="2:12">
      <c r="F41" s="6"/>
      <c r="G41" s="6"/>
    </row>
    <row r="46" spans="2:12" ht="15">
      <c r="I46" s="7"/>
    </row>
    <row r="47" spans="2:12" ht="15">
      <c r="I47" s="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декабрь18</vt:lpstr>
      <vt:lpstr>Январь19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NB</cp:lastModifiedBy>
  <cp:lastPrinted>2018-01-24T09:43:50Z</cp:lastPrinted>
  <dcterms:created xsi:type="dcterms:W3CDTF">1996-10-08T23:32:33Z</dcterms:created>
  <dcterms:modified xsi:type="dcterms:W3CDTF">2019-02-19T21:09:24Z</dcterms:modified>
</cp:coreProperties>
</file>