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tabRatio="767" activeTab="11"/>
  </bookViews>
  <sheets>
    <sheet name="Январь" sheetId="2" r:id="rId1"/>
    <sheet name="февраль" sheetId="3" r:id="rId2"/>
    <sheet name="март" sheetId="4" r:id="rId3"/>
    <sheet name="апрель" sheetId="5" r:id="rId4"/>
    <sheet name="май" sheetId="6" r:id="rId5"/>
    <sheet name="июнь" sheetId="7" r:id="rId6"/>
    <sheet name="июль" sheetId="8" r:id="rId7"/>
    <sheet name="август" sheetId="9" r:id="rId8"/>
    <sheet name="сентябрь" sheetId="11" r:id="rId9"/>
    <sheet name="октябрь" sheetId="10" r:id="rId10"/>
    <sheet name="ноябрь" sheetId="12" r:id="rId11"/>
    <sheet name="декабрь18" sheetId="13" r:id="rId12"/>
    <sheet name="Январь19" sheetId="15" r:id="rId13"/>
    <sheet name="Лист14" sheetId="14" r:id="rId14"/>
  </sheets>
  <calcPr calcId="125725" refMode="R1C1"/>
</workbook>
</file>

<file path=xl/calcChain.xml><?xml version="1.0" encoding="utf-8"?>
<calcChain xmlns="http://schemas.openxmlformats.org/spreadsheetml/2006/main">
  <c r="E32" i="13"/>
  <c r="C32"/>
  <c r="E22"/>
  <c r="C22"/>
  <c r="E21"/>
  <c r="C21"/>
  <c r="E18"/>
  <c r="C18"/>
  <c r="E17"/>
  <c r="C17"/>
  <c r="E16"/>
  <c r="C16"/>
  <c r="E15"/>
  <c r="C15"/>
  <c r="E14"/>
  <c r="C14"/>
  <c r="E11"/>
  <c r="C11"/>
  <c r="E10"/>
  <c r="C10"/>
  <c r="E9"/>
  <c r="C9"/>
  <c r="E8"/>
  <c r="C8"/>
  <c r="E7"/>
  <c r="C7"/>
  <c r="E6"/>
  <c r="C6"/>
  <c r="E5"/>
  <c r="C5"/>
  <c r="E4"/>
  <c r="C4"/>
  <c r="E3"/>
  <c r="C3"/>
  <c r="L4" i="15"/>
  <c r="L5"/>
  <c r="L6"/>
  <c r="L7"/>
  <c r="L8"/>
  <c r="L9"/>
  <c r="L10"/>
  <c r="L11"/>
  <c r="L12"/>
  <c r="L13"/>
  <c r="L14"/>
  <c r="L15"/>
  <c r="L16"/>
  <c r="L17"/>
  <c r="L18"/>
  <c r="L19"/>
  <c r="L20"/>
  <c r="L21"/>
  <c r="L22"/>
  <c r="L3"/>
  <c r="L4" i="13"/>
  <c r="L5"/>
  <c r="L6"/>
  <c r="L7"/>
  <c r="L8"/>
  <c r="L9"/>
  <c r="L10"/>
  <c r="L11"/>
  <c r="L12"/>
  <c r="L13"/>
  <c r="L14"/>
  <c r="L15"/>
  <c r="L16"/>
  <c r="L17"/>
  <c r="L18"/>
  <c r="L19"/>
  <c r="L20"/>
  <c r="L21"/>
  <c r="L22"/>
  <c r="L3"/>
  <c r="J4" i="15"/>
  <c r="J5"/>
  <c r="J6"/>
  <c r="J7"/>
  <c r="J8"/>
  <c r="J9"/>
  <c r="J10"/>
  <c r="J11"/>
  <c r="J12"/>
  <c r="J13"/>
  <c r="J14"/>
  <c r="J15"/>
  <c r="J16"/>
  <c r="J17"/>
  <c r="J18"/>
  <c r="J19"/>
  <c r="J20"/>
  <c r="J21"/>
  <c r="J22"/>
  <c r="J3"/>
  <c r="I29"/>
  <c r="E29"/>
  <c r="C29"/>
  <c r="I28"/>
  <c r="E28"/>
  <c r="C28"/>
  <c r="I27"/>
  <c r="E27"/>
  <c r="C27"/>
  <c r="E25"/>
  <c r="C25"/>
  <c r="K23"/>
  <c r="I23"/>
  <c r="E23"/>
  <c r="C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J27"/>
  <c r="G11"/>
  <c r="G27" s="1"/>
  <c r="B11"/>
  <c r="J28"/>
  <c r="G10"/>
  <c r="G28" s="1"/>
  <c r="B10"/>
  <c r="G9"/>
  <c r="B9"/>
  <c r="G8"/>
  <c r="B8"/>
  <c r="G7"/>
  <c r="B7"/>
  <c r="G6"/>
  <c r="B6"/>
  <c r="G5"/>
  <c r="B5"/>
  <c r="J29"/>
  <c r="G4"/>
  <c r="G29" s="1"/>
  <c r="B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L23"/>
  <c r="J23"/>
  <c r="G3"/>
  <c r="G25" s="1"/>
  <c r="B3"/>
  <c r="E34" i="12"/>
  <c r="C34"/>
  <c r="E22"/>
  <c r="C22"/>
  <c r="E21"/>
  <c r="C21"/>
  <c r="E18"/>
  <c r="C18"/>
  <c r="E17"/>
  <c r="C17"/>
  <c r="E16"/>
  <c r="C16"/>
  <c r="E15"/>
  <c r="C15"/>
  <c r="E14"/>
  <c r="C14"/>
  <c r="E11"/>
  <c r="C11"/>
  <c r="E10"/>
  <c r="C10"/>
  <c r="E9"/>
  <c r="C9"/>
  <c r="E8"/>
  <c r="C8"/>
  <c r="E7"/>
  <c r="C7"/>
  <c r="E6"/>
  <c r="C6"/>
  <c r="E5"/>
  <c r="C5"/>
  <c r="E4"/>
  <c r="C4"/>
  <c r="E3"/>
  <c r="C3"/>
  <c r="E33" i="10"/>
  <c r="C33"/>
  <c r="E22"/>
  <c r="C22"/>
  <c r="E21"/>
  <c r="C21"/>
  <c r="E18"/>
  <c r="C18"/>
  <c r="E17"/>
  <c r="C17"/>
  <c r="E16"/>
  <c r="C16"/>
  <c r="E15"/>
  <c r="C15"/>
  <c r="E14"/>
  <c r="C14"/>
  <c r="E11"/>
  <c r="C11"/>
  <c r="E10"/>
  <c r="C10"/>
  <c r="E9"/>
  <c r="C9"/>
  <c r="E8"/>
  <c r="C8"/>
  <c r="E7"/>
  <c r="C7"/>
  <c r="E6"/>
  <c r="C6"/>
  <c r="E5"/>
  <c r="C5"/>
  <c r="E4"/>
  <c r="C4"/>
  <c r="E3"/>
  <c r="C3"/>
  <c r="E22" i="11"/>
  <c r="E33"/>
  <c r="C33"/>
  <c r="C22"/>
  <c r="E21"/>
  <c r="E18"/>
  <c r="C18"/>
  <c r="E17"/>
  <c r="C17"/>
  <c r="E16"/>
  <c r="C16"/>
  <c r="E15"/>
  <c r="C15"/>
  <c r="E14"/>
  <c r="C14"/>
  <c r="E11"/>
  <c r="C11"/>
  <c r="E10"/>
  <c r="C10"/>
  <c r="E9"/>
  <c r="C9"/>
  <c r="E8"/>
  <c r="C8"/>
  <c r="E7"/>
  <c r="C7"/>
  <c r="E6"/>
  <c r="C6"/>
  <c r="E5"/>
  <c r="C5"/>
  <c r="E4"/>
  <c r="E3"/>
  <c r="C3"/>
  <c r="E11" i="9"/>
  <c r="E33"/>
  <c r="C33"/>
  <c r="E22"/>
  <c r="C22"/>
  <c r="E21"/>
  <c r="C21"/>
  <c r="E18"/>
  <c r="C18"/>
  <c r="E17"/>
  <c r="C17"/>
  <c r="E16"/>
  <c r="C16"/>
  <c r="E15"/>
  <c r="C15"/>
  <c r="E14"/>
  <c r="C14"/>
  <c r="C11"/>
  <c r="E10"/>
  <c r="C10"/>
  <c r="E9"/>
  <c r="C9"/>
  <c r="E8"/>
  <c r="C8"/>
  <c r="E7"/>
  <c r="C7"/>
  <c r="E6"/>
  <c r="C6"/>
  <c r="E5"/>
  <c r="C5"/>
  <c r="E4"/>
  <c r="E3"/>
  <c r="C3"/>
  <c r="C11" i="8"/>
  <c r="E32"/>
  <c r="C32"/>
  <c r="E22"/>
  <c r="C22"/>
  <c r="E21"/>
  <c r="E18"/>
  <c r="C18"/>
  <c r="E17"/>
  <c r="C17"/>
  <c r="E16"/>
  <c r="C16"/>
  <c r="E15"/>
  <c r="C15"/>
  <c r="E14"/>
  <c r="C14"/>
  <c r="E11"/>
  <c r="E10"/>
  <c r="C10"/>
  <c r="E9"/>
  <c r="C9"/>
  <c r="E8"/>
  <c r="C8"/>
  <c r="E7"/>
  <c r="C7"/>
  <c r="E6"/>
  <c r="C6"/>
  <c r="E5"/>
  <c r="C5"/>
  <c r="E4"/>
  <c r="C4"/>
  <c r="E3"/>
  <c r="C3"/>
  <c r="E33" i="7"/>
  <c r="C33"/>
  <c r="E22"/>
  <c r="C22"/>
  <c r="E21"/>
  <c r="C21"/>
  <c r="E18"/>
  <c r="C18"/>
  <c r="E17"/>
  <c r="C17"/>
  <c r="E16"/>
  <c r="C16"/>
  <c r="E15"/>
  <c r="C15"/>
  <c r="E14"/>
  <c r="C14"/>
  <c r="E11"/>
  <c r="C11"/>
  <c r="E10"/>
  <c r="C10"/>
  <c r="E9"/>
  <c r="C9"/>
  <c r="E8"/>
  <c r="C8"/>
  <c r="E7"/>
  <c r="C7"/>
  <c r="E6"/>
  <c r="C6"/>
  <c r="E5"/>
  <c r="C5"/>
  <c r="E4"/>
  <c r="E3"/>
  <c r="C3"/>
  <c r="E33" i="6"/>
  <c r="C33"/>
  <c r="E22"/>
  <c r="C22"/>
  <c r="E21"/>
  <c r="C21"/>
  <c r="E18"/>
  <c r="C18"/>
  <c r="E17"/>
  <c r="C17"/>
  <c r="E16"/>
  <c r="C16"/>
  <c r="E15"/>
  <c r="C15"/>
  <c r="E14"/>
  <c r="C14"/>
  <c r="E11"/>
  <c r="C11"/>
  <c r="E10"/>
  <c r="C10"/>
  <c r="E9"/>
  <c r="C9"/>
  <c r="E8"/>
  <c r="C8"/>
  <c r="E7"/>
  <c r="C7"/>
  <c r="E6"/>
  <c r="C6"/>
  <c r="E5"/>
  <c r="C5"/>
  <c r="E4"/>
  <c r="C4"/>
  <c r="E3"/>
  <c r="C3"/>
  <c r="E26" i="12"/>
  <c r="C26"/>
  <c r="E25" i="10"/>
  <c r="C25"/>
  <c r="E25" i="9"/>
  <c r="C25"/>
  <c r="E25" i="8"/>
  <c r="C25"/>
  <c r="E25" i="6"/>
  <c r="C25"/>
  <c r="H25" i="5"/>
  <c r="G25"/>
  <c r="F25"/>
  <c r="E25"/>
  <c r="D25"/>
  <c r="C25"/>
  <c r="H25" i="3"/>
  <c r="G25"/>
  <c r="F25"/>
  <c r="E25"/>
  <c r="D25"/>
  <c r="C25"/>
  <c r="E32" i="5"/>
  <c r="C32"/>
  <c r="E22"/>
  <c r="C22"/>
  <c r="E21"/>
  <c r="C21"/>
  <c r="E18"/>
  <c r="C18"/>
  <c r="E17"/>
  <c r="C17"/>
  <c r="E16"/>
  <c r="C16"/>
  <c r="E15"/>
  <c r="C15"/>
  <c r="E14"/>
  <c r="C14"/>
  <c r="E11"/>
  <c r="C11"/>
  <c r="E10"/>
  <c r="C10"/>
  <c r="E9"/>
  <c r="C9"/>
  <c r="E8"/>
  <c r="C8"/>
  <c r="E7"/>
  <c r="C7"/>
  <c r="E6"/>
  <c r="C6"/>
  <c r="E5"/>
  <c r="C5"/>
  <c r="E4"/>
  <c r="C4"/>
  <c r="E3"/>
  <c r="C3"/>
  <c r="E32" i="4"/>
  <c r="E21"/>
  <c r="C21"/>
  <c r="C32"/>
  <c r="E22"/>
  <c r="C22"/>
  <c r="C20"/>
  <c r="C19"/>
  <c r="E18"/>
  <c r="C18"/>
  <c r="E17"/>
  <c r="C17"/>
  <c r="E16"/>
  <c r="C16"/>
  <c r="E15"/>
  <c r="C15"/>
  <c r="E14"/>
  <c r="C14"/>
  <c r="E11"/>
  <c r="C11"/>
  <c r="E10"/>
  <c r="C10"/>
  <c r="E9"/>
  <c r="C9"/>
  <c r="E8"/>
  <c r="C8"/>
  <c r="E7"/>
  <c r="C7"/>
  <c r="E6"/>
  <c r="C6"/>
  <c r="E5"/>
  <c r="C5"/>
  <c r="E4"/>
  <c r="C4"/>
  <c r="E3"/>
  <c r="C3"/>
  <c r="E33" i="3"/>
  <c r="C21"/>
  <c r="C33"/>
  <c r="E22"/>
  <c r="C22"/>
  <c r="E21"/>
  <c r="C19"/>
  <c r="E18"/>
  <c r="C18"/>
  <c r="E17"/>
  <c r="C17"/>
  <c r="E16"/>
  <c r="C16"/>
  <c r="E15"/>
  <c r="C15"/>
  <c r="E14"/>
  <c r="C14"/>
  <c r="E11"/>
  <c r="C11"/>
  <c r="E10"/>
  <c r="C10"/>
  <c r="E9"/>
  <c r="C9"/>
  <c r="E8"/>
  <c r="C8"/>
  <c r="E7"/>
  <c r="C7"/>
  <c r="E6"/>
  <c r="C6"/>
  <c r="E5"/>
  <c r="C5"/>
  <c r="E4"/>
  <c r="C4"/>
  <c r="E3"/>
  <c r="C3"/>
  <c r="E35" i="2"/>
  <c r="E18"/>
  <c r="E7"/>
  <c r="C21"/>
  <c r="C35"/>
  <c r="E11"/>
  <c r="C11"/>
  <c r="E22"/>
  <c r="C22"/>
  <c r="E21"/>
  <c r="C19"/>
  <c r="C18"/>
  <c r="E17"/>
  <c r="C17"/>
  <c r="E16"/>
  <c r="C16"/>
  <c r="E15"/>
  <c r="C15"/>
  <c r="E14"/>
  <c r="C14"/>
  <c r="E10"/>
  <c r="C10"/>
  <c r="E9"/>
  <c r="C9"/>
  <c r="E8"/>
  <c r="C8"/>
  <c r="C7"/>
  <c r="E6"/>
  <c r="C6"/>
  <c r="E5"/>
  <c r="C5"/>
  <c r="E4"/>
  <c r="C4"/>
  <c r="E3"/>
  <c r="C3"/>
  <c r="E25" i="13"/>
  <c r="C25"/>
  <c r="I30" i="12"/>
  <c r="E30"/>
  <c r="C30"/>
  <c r="I29"/>
  <c r="E29"/>
  <c r="C29"/>
  <c r="I28"/>
  <c r="E28"/>
  <c r="C28"/>
  <c r="I30" i="10"/>
  <c r="E30"/>
  <c r="C30"/>
  <c r="I29"/>
  <c r="E29"/>
  <c r="C29"/>
  <c r="I28"/>
  <c r="E28"/>
  <c r="C28"/>
  <c r="I30" i="11"/>
  <c r="E30"/>
  <c r="C30"/>
  <c r="I29"/>
  <c r="E29"/>
  <c r="C29"/>
  <c r="I28"/>
  <c r="E28"/>
  <c r="C28"/>
  <c r="I30" i="9"/>
  <c r="E30"/>
  <c r="C30"/>
  <c r="I29"/>
  <c r="E29"/>
  <c r="C29"/>
  <c r="I28"/>
  <c r="E28"/>
  <c r="C28"/>
  <c r="I30" i="8"/>
  <c r="E30"/>
  <c r="C30"/>
  <c r="I29"/>
  <c r="E29"/>
  <c r="C29"/>
  <c r="I28"/>
  <c r="E28"/>
  <c r="C28"/>
  <c r="M4" i="15" l="1"/>
  <c r="G23"/>
  <c r="I30" i="7"/>
  <c r="E30"/>
  <c r="C30"/>
  <c r="I29"/>
  <c r="E29"/>
  <c r="C29"/>
  <c r="I28"/>
  <c r="E28"/>
  <c r="C28"/>
  <c r="I30" i="6"/>
  <c r="E30"/>
  <c r="C30"/>
  <c r="I29"/>
  <c r="E29"/>
  <c r="C29"/>
  <c r="I28"/>
  <c r="E28"/>
  <c r="C28"/>
  <c r="I30" i="5"/>
  <c r="E30"/>
  <c r="C30"/>
  <c r="I29"/>
  <c r="E29"/>
  <c r="C29"/>
  <c r="I28"/>
  <c r="E28"/>
  <c r="C28"/>
  <c r="I30" i="4"/>
  <c r="E30"/>
  <c r="C30"/>
  <c r="I29"/>
  <c r="E29"/>
  <c r="C29"/>
  <c r="I28"/>
  <c r="E28"/>
  <c r="C28"/>
  <c r="I30" i="3"/>
  <c r="E30"/>
  <c r="C30"/>
  <c r="I29"/>
  <c r="E29"/>
  <c r="C29"/>
  <c r="I28"/>
  <c r="E28"/>
  <c r="C28"/>
  <c r="E25" i="2"/>
  <c r="C25"/>
  <c r="E30"/>
  <c r="I30"/>
  <c r="C30"/>
  <c r="E29"/>
  <c r="I29"/>
  <c r="C29"/>
  <c r="E28"/>
  <c r="I28"/>
  <c r="C28"/>
  <c r="C29" i="13"/>
  <c r="C28"/>
  <c r="C27"/>
  <c r="I29"/>
  <c r="E29"/>
  <c r="I28"/>
  <c r="E28"/>
  <c r="I27"/>
  <c r="E27"/>
  <c r="E25" i="11" l="1"/>
  <c r="C25"/>
  <c r="E25" i="7"/>
  <c r="C25"/>
  <c r="C25" i="4"/>
  <c r="E25"/>
  <c r="B4" i="3"/>
  <c r="B4" i="4" s="1"/>
  <c r="B4" i="5" s="1"/>
  <c r="B4" i="6" s="1"/>
  <c r="B4" i="7" s="1"/>
  <c r="B4" i="8" s="1"/>
  <c r="B4" i="9" s="1"/>
  <c r="B4" i="11" s="1"/>
  <c r="B4" i="10" s="1"/>
  <c r="B4" i="12" s="1"/>
  <c r="B4" i="13" s="1"/>
  <c r="B5" i="3"/>
  <c r="B5" i="4"/>
  <c r="B5" i="5" s="1"/>
  <c r="B5" i="6" s="1"/>
  <c r="B5" i="7" s="1"/>
  <c r="B5" i="8" s="1"/>
  <c r="B5" i="9" s="1"/>
  <c r="B5" i="11" s="1"/>
  <c r="B5" i="10" s="1"/>
  <c r="B5" i="12" s="1"/>
  <c r="B5" i="13" s="1"/>
  <c r="B6" i="3"/>
  <c r="B6" i="4" s="1"/>
  <c r="B6" i="5" s="1"/>
  <c r="B6" i="6" s="1"/>
  <c r="B6" i="7" s="1"/>
  <c r="B6" i="8" s="1"/>
  <c r="B6" i="9" s="1"/>
  <c r="B6" i="11" s="1"/>
  <c r="B6" i="10" s="1"/>
  <c r="B6" i="12" s="1"/>
  <c r="B6" i="13" s="1"/>
  <c r="B7" i="3"/>
  <c r="B7" i="4"/>
  <c r="B7" i="5" s="1"/>
  <c r="B7" i="6" s="1"/>
  <c r="B7" i="7" s="1"/>
  <c r="B7" i="8" s="1"/>
  <c r="B7" i="9" s="1"/>
  <c r="B7" i="11" s="1"/>
  <c r="B7" i="10" s="1"/>
  <c r="B7" i="12" s="1"/>
  <c r="B7" i="13" s="1"/>
  <c r="B8" i="3"/>
  <c r="B8" i="4" s="1"/>
  <c r="B8" i="5" s="1"/>
  <c r="B8" i="6" s="1"/>
  <c r="B8" i="7" s="1"/>
  <c r="B8" i="8" s="1"/>
  <c r="B8" i="9" s="1"/>
  <c r="B8" i="11" s="1"/>
  <c r="B8" i="10" s="1"/>
  <c r="B8" i="12" s="1"/>
  <c r="B8" i="13" s="1"/>
  <c r="B9" i="3"/>
  <c r="B9" i="4"/>
  <c r="B9" i="5" s="1"/>
  <c r="B9" i="6" s="1"/>
  <c r="B9" i="7" s="1"/>
  <c r="B9" i="8" s="1"/>
  <c r="B9" i="9" s="1"/>
  <c r="B9" i="11" s="1"/>
  <c r="B9" i="10" s="1"/>
  <c r="B9" i="12" s="1"/>
  <c r="B9" i="13" s="1"/>
  <c r="B10" i="3"/>
  <c r="B10" i="4" s="1"/>
  <c r="B10" i="5" s="1"/>
  <c r="B10" i="6" s="1"/>
  <c r="B10" i="7" s="1"/>
  <c r="B10" i="8" s="1"/>
  <c r="B10" i="9" s="1"/>
  <c r="B10" i="11" s="1"/>
  <c r="B10" i="10" s="1"/>
  <c r="B10" i="12" s="1"/>
  <c r="B10" i="13" s="1"/>
  <c r="B11" i="3"/>
  <c r="B11" i="4"/>
  <c r="B11" i="5" s="1"/>
  <c r="B11" i="6" s="1"/>
  <c r="B11" i="7" s="1"/>
  <c r="B11" i="8" s="1"/>
  <c r="B11" i="9" s="1"/>
  <c r="B11" i="11" s="1"/>
  <c r="B11" i="10" s="1"/>
  <c r="B11" i="12" s="1"/>
  <c r="B11" i="13" s="1"/>
  <c r="B12" i="3"/>
  <c r="B12" i="4" s="1"/>
  <c r="B12" i="5" s="1"/>
  <c r="B12" i="6" s="1"/>
  <c r="B12" i="7" s="1"/>
  <c r="B12" i="8" s="1"/>
  <c r="B12" i="9" s="1"/>
  <c r="B12" i="11" s="1"/>
  <c r="B12" i="10" s="1"/>
  <c r="B12" i="12" s="1"/>
  <c r="B12" i="13" s="1"/>
  <c r="B13" i="3"/>
  <c r="B13" i="4"/>
  <c r="B13" i="5" s="1"/>
  <c r="B13" i="6" s="1"/>
  <c r="B13" i="7" s="1"/>
  <c r="B13" i="8" s="1"/>
  <c r="B13" i="9" s="1"/>
  <c r="B13" i="11" s="1"/>
  <c r="B13" i="10" s="1"/>
  <c r="B13" i="12" s="1"/>
  <c r="B13" i="13" s="1"/>
  <c r="B14" i="3"/>
  <c r="B14" i="4" s="1"/>
  <c r="B14" i="5" s="1"/>
  <c r="B14" i="6" s="1"/>
  <c r="B14" i="7" s="1"/>
  <c r="B14" i="8" s="1"/>
  <c r="B14" i="9" s="1"/>
  <c r="B14" i="11" s="1"/>
  <c r="B14" i="10" s="1"/>
  <c r="B14" i="12" s="1"/>
  <c r="B14" i="13" s="1"/>
  <c r="B15" i="3"/>
  <c r="B15" i="4"/>
  <c r="B15" i="5" s="1"/>
  <c r="B15" i="6" s="1"/>
  <c r="B15" i="7" s="1"/>
  <c r="B15" i="8" s="1"/>
  <c r="B15" i="9" s="1"/>
  <c r="B15" i="11" s="1"/>
  <c r="B15" i="10" s="1"/>
  <c r="B15" i="12" s="1"/>
  <c r="B15" i="13" s="1"/>
  <c r="B16" i="3"/>
  <c r="B16" i="4" s="1"/>
  <c r="B16" i="5" s="1"/>
  <c r="B16" i="6" s="1"/>
  <c r="B16" i="7" s="1"/>
  <c r="B16" i="8" s="1"/>
  <c r="B16" i="9" s="1"/>
  <c r="B16" i="11" s="1"/>
  <c r="B16" i="10" s="1"/>
  <c r="B16" i="12" s="1"/>
  <c r="B16" i="13" s="1"/>
  <c r="B17" i="3"/>
  <c r="B17" i="4"/>
  <c r="B17" i="5" s="1"/>
  <c r="B17" i="6" s="1"/>
  <c r="B17" i="7" s="1"/>
  <c r="B17" i="8" s="1"/>
  <c r="B17" i="9" s="1"/>
  <c r="B17" i="11" s="1"/>
  <c r="B17" i="10" s="1"/>
  <c r="B17" i="12" s="1"/>
  <c r="B17" i="13" s="1"/>
  <c r="B18" i="3"/>
  <c r="B18" i="4" s="1"/>
  <c r="B18" i="5" s="1"/>
  <c r="B18" i="6" s="1"/>
  <c r="B18" i="7" s="1"/>
  <c r="B18" i="8" s="1"/>
  <c r="B18" i="9" s="1"/>
  <c r="B18" i="11" s="1"/>
  <c r="B18" i="10" s="1"/>
  <c r="B18" i="12" s="1"/>
  <c r="B18" i="13" s="1"/>
  <c r="B19" i="3"/>
  <c r="B19" i="4"/>
  <c r="B19" i="5" s="1"/>
  <c r="B19" i="6" s="1"/>
  <c r="B19" i="7" s="1"/>
  <c r="B19" i="8" s="1"/>
  <c r="B19" i="9" s="1"/>
  <c r="B19" i="11" s="1"/>
  <c r="B19" i="10" s="1"/>
  <c r="B19" i="12" s="1"/>
  <c r="B19" i="13" s="1"/>
  <c r="B20" i="3"/>
  <c r="B20" i="4" s="1"/>
  <c r="B20" i="5" s="1"/>
  <c r="B20" i="6" s="1"/>
  <c r="B20" i="7" s="1"/>
  <c r="B20" i="8" s="1"/>
  <c r="B20" i="9" s="1"/>
  <c r="B20" i="11" s="1"/>
  <c r="B20" i="10" s="1"/>
  <c r="B20" i="12" s="1"/>
  <c r="B20" i="13" s="1"/>
  <c r="B21" i="3"/>
  <c r="B21" i="4"/>
  <c r="B21" i="5" s="1"/>
  <c r="B21" i="6" s="1"/>
  <c r="B21" i="7" s="1"/>
  <c r="B21" i="8" s="1"/>
  <c r="B21" i="9" s="1"/>
  <c r="B21" i="11" s="1"/>
  <c r="B21" i="10" s="1"/>
  <c r="B21" i="12" s="1"/>
  <c r="B21" i="13" s="1"/>
  <c r="B22" i="3"/>
  <c r="B22" i="5"/>
  <c r="B22" i="6" s="1"/>
  <c r="B22" i="7" s="1"/>
  <c r="B22" i="8" s="1"/>
  <c r="B22" i="9" s="1"/>
  <c r="B22" i="11" s="1"/>
  <c r="B22" i="10" s="1"/>
  <c r="B22" i="12" s="1"/>
  <c r="B22" i="13" s="1"/>
  <c r="B3" i="3"/>
  <c r="B3" i="4" s="1"/>
  <c r="B3" i="5" s="1"/>
  <c r="B3" i="6" s="1"/>
  <c r="B3" i="7" s="1"/>
  <c r="B3" i="8" s="1"/>
  <c r="B3" i="9" s="1"/>
  <c r="B3" i="11" s="1"/>
  <c r="B3" i="10" s="1"/>
  <c r="B3" i="12" s="1"/>
  <c r="B3" i="13" s="1"/>
  <c r="L4" i="2"/>
  <c r="L5"/>
  <c r="L5" i="3"/>
  <c r="L5" i="4"/>
  <c r="L5" i="5" s="1"/>
  <c r="L5" i="6" s="1"/>
  <c r="L5" i="7" s="1"/>
  <c r="L5" i="8" s="1"/>
  <c r="L5" i="9" s="1"/>
  <c r="L5" i="11" s="1"/>
  <c r="L5" i="10" s="1"/>
  <c r="L5" i="12" s="1"/>
  <c r="L6" i="2"/>
  <c r="L7"/>
  <c r="L8"/>
  <c r="L9"/>
  <c r="L10"/>
  <c r="L11"/>
  <c r="L12"/>
  <c r="L13"/>
  <c r="L14"/>
  <c r="L15"/>
  <c r="L16"/>
  <c r="L17"/>
  <c r="L18"/>
  <c r="L19"/>
  <c r="L20"/>
  <c r="L21"/>
  <c r="L22"/>
  <c r="L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3"/>
  <c r="F4"/>
  <c r="F5"/>
  <c r="F6"/>
  <c r="F7"/>
  <c r="F8"/>
  <c r="F9"/>
  <c r="F10"/>
  <c r="F11"/>
  <c r="F12"/>
  <c r="F13"/>
  <c r="F14"/>
  <c r="F15"/>
  <c r="F16"/>
  <c r="F17"/>
  <c r="F18"/>
  <c r="F19"/>
  <c r="F20"/>
  <c r="F20" i="3"/>
  <c r="F20" i="4"/>
  <c r="F20" i="5" s="1"/>
  <c r="F20" i="6" s="1"/>
  <c r="F20" i="7" s="1"/>
  <c r="F20" i="8" s="1"/>
  <c r="F20" i="9" s="1"/>
  <c r="F20" i="11" s="1"/>
  <c r="F20" i="10" s="1"/>
  <c r="F20" i="12" s="1"/>
  <c r="F20" i="13" s="1"/>
  <c r="F20" i="15" s="1"/>
  <c r="F21" i="2"/>
  <c r="F22"/>
  <c r="F3"/>
  <c r="F25" s="1"/>
  <c r="D4"/>
  <c r="D5"/>
  <c r="D5" i="3"/>
  <c r="D5" i="4"/>
  <c r="D5" i="5" s="1"/>
  <c r="D6" i="2"/>
  <c r="D7"/>
  <c r="D7" i="3"/>
  <c r="D8" i="2"/>
  <c r="D9"/>
  <c r="D9" i="3"/>
  <c r="D10" i="2"/>
  <c r="D11"/>
  <c r="D11" i="3"/>
  <c r="D12" i="2"/>
  <c r="D13"/>
  <c r="D13" i="3"/>
  <c r="D14" i="2"/>
  <c r="D15"/>
  <c r="D16"/>
  <c r="D17"/>
  <c r="D18"/>
  <c r="D19"/>
  <c r="D20"/>
  <c r="D21"/>
  <c r="D22"/>
  <c r="D3"/>
  <c r="D25" s="1"/>
  <c r="M4"/>
  <c r="G22" i="12"/>
  <c r="G9"/>
  <c r="G17"/>
  <c r="G5"/>
  <c r="C23"/>
  <c r="G18" i="2"/>
  <c r="G19"/>
  <c r="G20"/>
  <c r="G21"/>
  <c r="F18" i="3"/>
  <c r="F18" i="4"/>
  <c r="F18" i="5" s="1"/>
  <c r="F18" i="6" s="1"/>
  <c r="F18" i="7" s="1"/>
  <c r="F18" i="8" s="1"/>
  <c r="F18" i="9" s="1"/>
  <c r="F18" i="11" s="1"/>
  <c r="F18" i="10" s="1"/>
  <c r="F18" i="12" s="1"/>
  <c r="F18" i="13" s="1"/>
  <c r="F18" i="15" s="1"/>
  <c r="J4" i="3"/>
  <c r="J5"/>
  <c r="J5" i="4"/>
  <c r="J5" i="5" s="1"/>
  <c r="J5" i="6" s="1"/>
  <c r="J5" i="7" s="1"/>
  <c r="J5" i="8" s="1"/>
  <c r="J5" i="9" s="1"/>
  <c r="J5" i="11" s="1"/>
  <c r="J5" i="10" s="1"/>
  <c r="J5" i="12" s="1"/>
  <c r="J5" i="13" s="1"/>
  <c r="J6" i="3"/>
  <c r="J6" i="4" s="1"/>
  <c r="J6" i="5" s="1"/>
  <c r="J6" i="6" s="1"/>
  <c r="J6" i="7" s="1"/>
  <c r="J6" i="8" s="1"/>
  <c r="J6" i="9" s="1"/>
  <c r="J6" i="11" s="1"/>
  <c r="J6" i="10" s="1"/>
  <c r="J6" i="12" s="1"/>
  <c r="J6" i="13" s="1"/>
  <c r="J7" i="3"/>
  <c r="J7" i="4"/>
  <c r="J7" i="5" s="1"/>
  <c r="J7" i="6" s="1"/>
  <c r="J7" i="7" s="1"/>
  <c r="J7" i="8" s="1"/>
  <c r="J7" i="9" s="1"/>
  <c r="J7" i="11" s="1"/>
  <c r="J7" i="10" s="1"/>
  <c r="J7" i="12" s="1"/>
  <c r="J7" i="13" s="1"/>
  <c r="J8" i="3"/>
  <c r="J8" i="4" s="1"/>
  <c r="J8" i="5" s="1"/>
  <c r="J8" i="6" s="1"/>
  <c r="J8" i="7" s="1"/>
  <c r="J8" i="8" s="1"/>
  <c r="J8" i="9" s="1"/>
  <c r="J8" i="11" s="1"/>
  <c r="J8" i="10" s="1"/>
  <c r="J8" i="12" s="1"/>
  <c r="J8" i="13" s="1"/>
  <c r="J9" i="3"/>
  <c r="J9" i="4"/>
  <c r="J9" i="5" s="1"/>
  <c r="J9" i="6" s="1"/>
  <c r="J9" i="7" s="1"/>
  <c r="J9" i="8" s="1"/>
  <c r="J9" i="9" s="1"/>
  <c r="J9" i="11" s="1"/>
  <c r="J9" i="10" s="1"/>
  <c r="J9" i="12" s="1"/>
  <c r="J9" i="13" s="1"/>
  <c r="J10" i="3"/>
  <c r="J10" i="4" s="1"/>
  <c r="J10" i="5" s="1"/>
  <c r="J10" i="6" s="1"/>
  <c r="J10" i="7" s="1"/>
  <c r="J10" i="8" s="1"/>
  <c r="J10" i="9" s="1"/>
  <c r="J10" i="11" s="1"/>
  <c r="J10" i="10" s="1"/>
  <c r="J10" i="12" s="1"/>
  <c r="J10" i="13" s="1"/>
  <c r="J11" i="3"/>
  <c r="J11" i="4"/>
  <c r="J11" i="5" s="1"/>
  <c r="J11" i="6" s="1"/>
  <c r="J11" i="7" s="1"/>
  <c r="J11" i="8" s="1"/>
  <c r="J11" i="9" s="1"/>
  <c r="J11" i="11" s="1"/>
  <c r="J11" i="10" s="1"/>
  <c r="J12" i="3"/>
  <c r="J12" i="4" s="1"/>
  <c r="J12" i="5" s="1"/>
  <c r="J12" i="6" s="1"/>
  <c r="J12" i="7" s="1"/>
  <c r="J12" i="8" s="1"/>
  <c r="J12" i="9" s="1"/>
  <c r="J12" i="11" s="1"/>
  <c r="J12" i="10" s="1"/>
  <c r="J12" i="12" s="1"/>
  <c r="J12" i="13" s="1"/>
  <c r="J13" i="3"/>
  <c r="J13" i="4"/>
  <c r="J13" i="5" s="1"/>
  <c r="J13" i="6" s="1"/>
  <c r="J13" i="7" s="1"/>
  <c r="J13" i="8" s="1"/>
  <c r="J13" i="9" s="1"/>
  <c r="J13" i="11" s="1"/>
  <c r="J13" i="10" s="1"/>
  <c r="J13" i="12" s="1"/>
  <c r="J13" i="13" s="1"/>
  <c r="J14" i="3"/>
  <c r="J14" i="4" s="1"/>
  <c r="J14" i="5" s="1"/>
  <c r="J14" i="6" s="1"/>
  <c r="J14" i="7" s="1"/>
  <c r="J14" i="8" s="1"/>
  <c r="J14" i="9" s="1"/>
  <c r="J14" i="11" s="1"/>
  <c r="J14" i="10" s="1"/>
  <c r="J14" i="12" s="1"/>
  <c r="J14" i="13" s="1"/>
  <c r="J15" i="3"/>
  <c r="J15" i="4"/>
  <c r="J15" i="5" s="1"/>
  <c r="J15" i="6" s="1"/>
  <c r="J15" i="7" s="1"/>
  <c r="J15" i="8" s="1"/>
  <c r="J15" i="9" s="1"/>
  <c r="J15" i="11" s="1"/>
  <c r="J15" i="10" s="1"/>
  <c r="J15" i="12" s="1"/>
  <c r="J15" i="13" s="1"/>
  <c r="J16" i="3"/>
  <c r="J16" i="4" s="1"/>
  <c r="J16" i="5" s="1"/>
  <c r="J16" i="6" s="1"/>
  <c r="J16" i="7" s="1"/>
  <c r="J16" i="8" s="1"/>
  <c r="J16" i="9" s="1"/>
  <c r="J16" i="11" s="1"/>
  <c r="J16" i="10" s="1"/>
  <c r="J16" i="12" s="1"/>
  <c r="J16" i="13" s="1"/>
  <c r="J17" i="3"/>
  <c r="J17" i="4"/>
  <c r="J17" i="5" s="1"/>
  <c r="J17" i="6" s="1"/>
  <c r="J17" i="7" s="1"/>
  <c r="J17" i="8" s="1"/>
  <c r="J17" i="9" s="1"/>
  <c r="J17" i="11" s="1"/>
  <c r="J17" i="10" s="1"/>
  <c r="J17" i="12" s="1"/>
  <c r="J17" i="13" s="1"/>
  <c r="F4" i="3"/>
  <c r="F4" i="4" s="1"/>
  <c r="F4" i="5" s="1"/>
  <c r="F4" i="6" s="1"/>
  <c r="F4" i="7" s="1"/>
  <c r="F4" i="8" s="1"/>
  <c r="F4" i="9" s="1"/>
  <c r="F4" i="11" s="1"/>
  <c r="F4" i="10" s="1"/>
  <c r="F4" i="12" s="1"/>
  <c r="F5" i="3"/>
  <c r="F5" i="4"/>
  <c r="F5" i="5" s="1"/>
  <c r="F5" i="6" s="1"/>
  <c r="F5" i="7" s="1"/>
  <c r="F5" i="8" s="1"/>
  <c r="F5" i="9" s="1"/>
  <c r="F5" i="11" s="1"/>
  <c r="F5" i="10" s="1"/>
  <c r="F5" i="12" s="1"/>
  <c r="F5" i="13" s="1"/>
  <c r="F5" i="15" s="1"/>
  <c r="F6" i="3"/>
  <c r="F6" i="4" s="1"/>
  <c r="F6" i="5" s="1"/>
  <c r="F6" i="6" s="1"/>
  <c r="F6" i="7" s="1"/>
  <c r="F6" i="8" s="1"/>
  <c r="F6" i="9" s="1"/>
  <c r="F6" i="11" s="1"/>
  <c r="F6" i="10" s="1"/>
  <c r="F6" i="12" s="1"/>
  <c r="F6" i="13" s="1"/>
  <c r="F6" i="15" s="1"/>
  <c r="F7" i="3"/>
  <c r="F7" i="4"/>
  <c r="F7" i="5" s="1"/>
  <c r="F7" i="6" s="1"/>
  <c r="F7" i="7" s="1"/>
  <c r="F7" i="8" s="1"/>
  <c r="F7" i="9" s="1"/>
  <c r="F7" i="11" s="1"/>
  <c r="F7" i="10" s="1"/>
  <c r="F7" i="12" s="1"/>
  <c r="F7" i="13" s="1"/>
  <c r="F7" i="15" s="1"/>
  <c r="F8" i="3"/>
  <c r="F8" i="4" s="1"/>
  <c r="F8" i="5" s="1"/>
  <c r="F8" i="6" s="1"/>
  <c r="F8" i="7" s="1"/>
  <c r="F8" i="8" s="1"/>
  <c r="F8" i="9" s="1"/>
  <c r="F8" i="11" s="1"/>
  <c r="F8" i="10" s="1"/>
  <c r="F8" i="12" s="1"/>
  <c r="F8" i="13" s="1"/>
  <c r="F8" i="15" s="1"/>
  <c r="F9" i="3"/>
  <c r="F9" i="4"/>
  <c r="F9" i="5" s="1"/>
  <c r="F9" i="6" s="1"/>
  <c r="F9" i="7" s="1"/>
  <c r="F9" i="8" s="1"/>
  <c r="F9" i="9" s="1"/>
  <c r="F9" i="11" s="1"/>
  <c r="F9" i="10" s="1"/>
  <c r="F9" i="12" s="1"/>
  <c r="F9" i="13" s="1"/>
  <c r="F9" i="15" s="1"/>
  <c r="F10" i="3"/>
  <c r="F10" i="4" s="1"/>
  <c r="F10" i="5" s="1"/>
  <c r="F10" i="6" s="1"/>
  <c r="F10" i="7" s="1"/>
  <c r="F10" i="8" s="1"/>
  <c r="F10" i="9" s="1"/>
  <c r="F10" i="11" s="1"/>
  <c r="F10" i="10" s="1"/>
  <c r="F10" i="12" s="1"/>
  <c r="F10" i="13" s="1"/>
  <c r="F10" i="15" s="1"/>
  <c r="F11" i="3"/>
  <c r="F11" i="4"/>
  <c r="F11" i="5" s="1"/>
  <c r="F11" i="6" s="1"/>
  <c r="F11" i="7" s="1"/>
  <c r="F11" i="8" s="1"/>
  <c r="F11" i="9" s="1"/>
  <c r="F11" i="11" s="1"/>
  <c r="F11" i="10" s="1"/>
  <c r="F11" i="12" s="1"/>
  <c r="F11" i="13" s="1"/>
  <c r="F11" i="15" s="1"/>
  <c r="F12" i="3"/>
  <c r="F12" i="4" s="1"/>
  <c r="F13" i="3"/>
  <c r="F13" i="4" s="1"/>
  <c r="F13" i="5" s="1"/>
  <c r="F13" i="6" s="1"/>
  <c r="F13" i="7" s="1"/>
  <c r="F13" i="8" s="1"/>
  <c r="F13" i="9" s="1"/>
  <c r="F13" i="11" s="1"/>
  <c r="F13" i="10" s="1"/>
  <c r="F13" i="12" s="1"/>
  <c r="F13" i="13" s="1"/>
  <c r="F13" i="15" s="1"/>
  <c r="F14" i="3"/>
  <c r="F14" i="4"/>
  <c r="F14" i="5" s="1"/>
  <c r="F14" i="6" s="1"/>
  <c r="F14" i="7" s="1"/>
  <c r="F14" i="8" s="1"/>
  <c r="F14" i="9" s="1"/>
  <c r="F14" i="11" s="1"/>
  <c r="F14" i="10" s="1"/>
  <c r="F14" i="12" s="1"/>
  <c r="F14" i="13" s="1"/>
  <c r="F14" i="15" s="1"/>
  <c r="F15" i="3"/>
  <c r="F15" i="4" s="1"/>
  <c r="F16" i="3"/>
  <c r="F16" i="4" s="1"/>
  <c r="F17" i="3"/>
  <c r="F17" i="4" s="1"/>
  <c r="F17" i="5" s="1"/>
  <c r="F17" i="6" s="1"/>
  <c r="F17" i="7" s="1"/>
  <c r="F17" i="8" s="1"/>
  <c r="F17" i="9" s="1"/>
  <c r="F17" i="11" s="1"/>
  <c r="F17" i="10" s="1"/>
  <c r="F17" i="12" s="1"/>
  <c r="F17" i="13" s="1"/>
  <c r="F17" i="15" s="1"/>
  <c r="F3" i="3"/>
  <c r="D4"/>
  <c r="D6"/>
  <c r="D8"/>
  <c r="D10"/>
  <c r="D12"/>
  <c r="D14"/>
  <c r="D14" i="4"/>
  <c r="D14" i="5" s="1"/>
  <c r="D14" i="6" s="1"/>
  <c r="D16" i="3"/>
  <c r="D17"/>
  <c r="D3"/>
  <c r="L4"/>
  <c r="K23" i="13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C23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K23" i="12"/>
  <c r="I23"/>
  <c r="G3"/>
  <c r="G4"/>
  <c r="G6"/>
  <c r="G7"/>
  <c r="G8"/>
  <c r="G10"/>
  <c r="G11"/>
  <c r="G12"/>
  <c r="G13"/>
  <c r="G14"/>
  <c r="G15"/>
  <c r="G16"/>
  <c r="G18"/>
  <c r="G19"/>
  <c r="G20"/>
  <c r="G21"/>
  <c r="E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0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1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E36" s="1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9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8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7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6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5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K23" i="4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3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L21"/>
  <c r="L21" i="4"/>
  <c r="L21" i="5"/>
  <c r="L21" i="6" s="1"/>
  <c r="L21" i="7" s="1"/>
  <c r="L21" i="8" s="1"/>
  <c r="L21" i="9" s="1"/>
  <c r="L21" i="11" s="1"/>
  <c r="L21" i="10" s="1"/>
  <c r="L21" i="12" s="1"/>
  <c r="J18" i="3"/>
  <c r="J18" i="4" s="1"/>
  <c r="J18" i="5" s="1"/>
  <c r="J18" i="6" s="1"/>
  <c r="J18" i="7" s="1"/>
  <c r="J18" i="8" s="1"/>
  <c r="J18" i="9" s="1"/>
  <c r="J18" i="11" s="1"/>
  <c r="J18" i="10" s="1"/>
  <c r="J18" i="12" s="1"/>
  <c r="J18" i="13" s="1"/>
  <c r="J19" i="3"/>
  <c r="J19" i="4"/>
  <c r="J19" i="5" s="1"/>
  <c r="J19" i="6" s="1"/>
  <c r="J19" i="7" s="1"/>
  <c r="J19" i="8" s="1"/>
  <c r="J19" i="9" s="1"/>
  <c r="J19" i="11" s="1"/>
  <c r="J19" i="10" s="1"/>
  <c r="J19" i="12" s="1"/>
  <c r="J19" i="13" s="1"/>
  <c r="J20" i="3"/>
  <c r="J20" i="4" s="1"/>
  <c r="J20" i="5" s="1"/>
  <c r="J20" i="6" s="1"/>
  <c r="J20" i="7" s="1"/>
  <c r="J20" i="8" s="1"/>
  <c r="J20" i="9" s="1"/>
  <c r="J20" i="11" s="1"/>
  <c r="J20" i="10" s="1"/>
  <c r="J20" i="12" s="1"/>
  <c r="J20" i="13" s="1"/>
  <c r="J22" i="3"/>
  <c r="J22" i="4"/>
  <c r="J22" i="5" s="1"/>
  <c r="J22" i="6" s="1"/>
  <c r="J22" i="7" s="1"/>
  <c r="J22" i="8" s="1"/>
  <c r="J22" i="9" s="1"/>
  <c r="J22" i="11" s="1"/>
  <c r="J22" i="10" s="1"/>
  <c r="J22" i="12" s="1"/>
  <c r="J22" i="13" s="1"/>
  <c r="G4" i="2"/>
  <c r="H4"/>
  <c r="G5"/>
  <c r="H5"/>
  <c r="G6"/>
  <c r="H6"/>
  <c r="G7"/>
  <c r="H7"/>
  <c r="G8"/>
  <c r="H8"/>
  <c r="G9"/>
  <c r="H9"/>
  <c r="G10"/>
  <c r="G29" s="1"/>
  <c r="H10"/>
  <c r="G11"/>
  <c r="H11"/>
  <c r="G12"/>
  <c r="H12"/>
  <c r="G13"/>
  <c r="H13"/>
  <c r="G14"/>
  <c r="H14"/>
  <c r="G15"/>
  <c r="G16"/>
  <c r="H16"/>
  <c r="G17"/>
  <c r="H17"/>
  <c r="D18" i="3"/>
  <c r="F19"/>
  <c r="F19" i="4" s="1"/>
  <c r="D19" i="3"/>
  <c r="D19" i="4"/>
  <c r="D19" i="5" s="1"/>
  <c r="D20" i="3"/>
  <c r="D20" i="4"/>
  <c r="D20" i="5" s="1"/>
  <c r="F21" i="3"/>
  <c r="F21" i="4"/>
  <c r="F21" i="5" s="1"/>
  <c r="G22" i="2"/>
  <c r="F22" i="3"/>
  <c r="F22" i="4" s="1"/>
  <c r="L10" i="3"/>
  <c r="L10" i="4" s="1"/>
  <c r="L10" i="5" s="1"/>
  <c r="L10" i="6" s="1"/>
  <c r="L10" i="7" s="1"/>
  <c r="L10" i="8" s="1"/>
  <c r="L10" i="9" s="1"/>
  <c r="L10" i="11" s="1"/>
  <c r="L10" i="10" s="1"/>
  <c r="L10" i="12" s="1"/>
  <c r="L11" i="3"/>
  <c r="L11" i="4"/>
  <c r="L11" i="5" s="1"/>
  <c r="L11" i="6" s="1"/>
  <c r="L11" i="7" s="1"/>
  <c r="L11" i="8" s="1"/>
  <c r="L11" i="9" s="1"/>
  <c r="L11" i="11" s="1"/>
  <c r="L11" i="10" s="1"/>
  <c r="L11" i="12" s="1"/>
  <c r="L19" i="3"/>
  <c r="L19" i="4" s="1"/>
  <c r="L19" i="5" s="1"/>
  <c r="L19" i="6" s="1"/>
  <c r="L19" i="7" s="1"/>
  <c r="L19" i="8" s="1"/>
  <c r="L19" i="9" s="1"/>
  <c r="L19" i="11" s="1"/>
  <c r="L19" i="10" s="1"/>
  <c r="L19" i="12" s="1"/>
  <c r="J21" i="3"/>
  <c r="J21" i="4"/>
  <c r="J21" i="5" s="1"/>
  <c r="J21" i="6" s="1"/>
  <c r="J21" i="7" s="1"/>
  <c r="J21" i="8" s="1"/>
  <c r="J21" i="9" s="1"/>
  <c r="J21" i="11" s="1"/>
  <c r="J21" i="10" s="1"/>
  <c r="J21" i="12" s="1"/>
  <c r="J21" i="13" s="1"/>
  <c r="D21" i="3"/>
  <c r="L4" i="14"/>
  <c r="L24"/>
  <c r="K24"/>
  <c r="J4"/>
  <c r="J24" s="1"/>
  <c r="I24"/>
  <c r="F4"/>
  <c r="D4"/>
  <c r="H4" s="1"/>
  <c r="H24" s="1"/>
  <c r="G4"/>
  <c r="G24"/>
  <c r="F24"/>
  <c r="E24"/>
  <c r="C2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K23" i="2"/>
  <c r="I23"/>
  <c r="G3"/>
  <c r="G25" s="1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J23"/>
  <c r="G23" i="12"/>
  <c r="L14" i="3"/>
  <c r="L14" i="4"/>
  <c r="L14" i="5" s="1"/>
  <c r="L14" i="6" s="1"/>
  <c r="L14" i="7" s="1"/>
  <c r="L14" i="8" s="1"/>
  <c r="L14" i="9" s="1"/>
  <c r="L14" i="11" s="1"/>
  <c r="L14" i="10" s="1"/>
  <c r="L14" i="12" s="1"/>
  <c r="L8" i="3"/>
  <c r="L8" i="4" s="1"/>
  <c r="L8" i="5" s="1"/>
  <c r="L8" i="6" s="1"/>
  <c r="L8" i="7" s="1"/>
  <c r="L8" i="8" s="1"/>
  <c r="L8" i="9" s="1"/>
  <c r="L8" i="11" s="1"/>
  <c r="L8" i="10" s="1"/>
  <c r="L8" i="12" s="1"/>
  <c r="H22" i="2"/>
  <c r="L16" i="3"/>
  <c r="L16" i="4" s="1"/>
  <c r="L16" i="5" s="1"/>
  <c r="L16" i="6" s="1"/>
  <c r="L16" i="7" s="1"/>
  <c r="L16" i="8" s="1"/>
  <c r="L16" i="9" s="1"/>
  <c r="L16" i="11" s="1"/>
  <c r="L16" i="10" s="1"/>
  <c r="L16" i="12" s="1"/>
  <c r="L12" i="3"/>
  <c r="L12" i="4"/>
  <c r="L12" i="5" s="1"/>
  <c r="L12" i="6" s="1"/>
  <c r="L12" i="7" s="1"/>
  <c r="L12" i="8" s="1"/>
  <c r="L12" i="9" s="1"/>
  <c r="L12" i="11" s="1"/>
  <c r="L12" i="10" s="1"/>
  <c r="L12" i="12" s="1"/>
  <c r="L6" i="3"/>
  <c r="L6" i="4" s="1"/>
  <c r="L23" i="2"/>
  <c r="L17" i="3"/>
  <c r="L17" i="4" s="1"/>
  <c r="L17" i="5" s="1"/>
  <c r="L17" i="6" s="1"/>
  <c r="L17" i="7" s="1"/>
  <c r="L17" i="8" s="1"/>
  <c r="L17" i="9" s="1"/>
  <c r="L17" i="11" s="1"/>
  <c r="L17" i="10" s="1"/>
  <c r="L17" i="12" s="1"/>
  <c r="L15" i="3"/>
  <c r="L15" i="4"/>
  <c r="L15" i="5" s="1"/>
  <c r="L15" i="6" s="1"/>
  <c r="L15" i="7" s="1"/>
  <c r="L15" i="8" s="1"/>
  <c r="L15" i="9" s="1"/>
  <c r="L15" i="11" s="1"/>
  <c r="L15" i="10" s="1"/>
  <c r="L15" i="12" s="1"/>
  <c r="L13" i="3"/>
  <c r="L13" i="4" s="1"/>
  <c r="L13" i="5" s="1"/>
  <c r="L13" i="6" s="1"/>
  <c r="L13" i="7" s="1"/>
  <c r="L13" i="8" s="1"/>
  <c r="L13" i="9" s="1"/>
  <c r="L13" i="11" s="1"/>
  <c r="L13" i="10" s="1"/>
  <c r="L13" i="12" s="1"/>
  <c r="L9" i="3"/>
  <c r="L9" i="4"/>
  <c r="L9" i="5" s="1"/>
  <c r="L9" i="6" s="1"/>
  <c r="L9" i="7" s="1"/>
  <c r="L9" i="8" s="1"/>
  <c r="L9" i="9" s="1"/>
  <c r="L9" i="11" s="1"/>
  <c r="L9" i="10" s="1"/>
  <c r="L9" i="12" s="1"/>
  <c r="L7" i="3"/>
  <c r="L7" i="4" s="1"/>
  <c r="L7" i="5" s="1"/>
  <c r="L7" i="6" s="1"/>
  <c r="L7" i="7" s="1"/>
  <c r="L7" i="8" s="1"/>
  <c r="L7" i="9" s="1"/>
  <c r="L7" i="11" s="1"/>
  <c r="L7" i="10" s="1"/>
  <c r="L7" i="12" s="1"/>
  <c r="H20" i="2"/>
  <c r="H19"/>
  <c r="L22" i="3"/>
  <c r="L22" i="4"/>
  <c r="L22" i="5" s="1"/>
  <c r="L22" i="6" s="1"/>
  <c r="L22" i="7" s="1"/>
  <c r="L22" i="8" s="1"/>
  <c r="L22" i="9" s="1"/>
  <c r="L22" i="11" s="1"/>
  <c r="L22" i="10" s="1"/>
  <c r="L22" i="12" s="1"/>
  <c r="L20" i="3"/>
  <c r="L20" i="4" s="1"/>
  <c r="L20" i="5" s="1"/>
  <c r="L20" i="6" s="1"/>
  <c r="L20" i="7" s="1"/>
  <c r="L20" i="8" s="1"/>
  <c r="L20" i="9" s="1"/>
  <c r="L20" i="11" s="1"/>
  <c r="L20" i="10" s="1"/>
  <c r="L20" i="12" s="1"/>
  <c r="L18" i="3"/>
  <c r="L18" i="4"/>
  <c r="L18" i="5" s="1"/>
  <c r="L18" i="6" s="1"/>
  <c r="L18" i="7" s="1"/>
  <c r="L18" i="8" s="1"/>
  <c r="L18" i="9" s="1"/>
  <c r="L18" i="11" s="1"/>
  <c r="L18" i="10" s="1"/>
  <c r="L18" i="12" s="1"/>
  <c r="D22" i="3"/>
  <c r="D22" i="4" s="1"/>
  <c r="D22" i="5" s="1"/>
  <c r="L3" i="3"/>
  <c r="L3" i="4"/>
  <c r="J4"/>
  <c r="J30" s="1"/>
  <c r="E23" i="13"/>
  <c r="G23"/>
  <c r="J3" i="3"/>
  <c r="J3" i="4"/>
  <c r="D16"/>
  <c r="D16" i="5" s="1"/>
  <c r="D15" i="3"/>
  <c r="H15" s="1"/>
  <c r="H15" i="2"/>
  <c r="H21"/>
  <c r="H18"/>
  <c r="G23" i="6"/>
  <c r="D12" i="4"/>
  <c r="D12" i="5" s="1"/>
  <c r="H12" i="3"/>
  <c r="D16" i="6"/>
  <c r="D16" i="7" s="1"/>
  <c r="D16" i="8" s="1"/>
  <c r="D16" i="9" s="1"/>
  <c r="D16" i="11" s="1"/>
  <c r="D16" i="10" s="1"/>
  <c r="D16" i="12" s="1"/>
  <c r="D16" i="13" s="1"/>
  <c r="D16" i="15" s="1"/>
  <c r="G23" i="2"/>
  <c r="H14" i="3"/>
  <c r="H16"/>
  <c r="H20"/>
  <c r="G23" i="11"/>
  <c r="D7" i="4"/>
  <c r="D7" i="5" s="1"/>
  <c r="H7" s="1"/>
  <c r="H7" i="3"/>
  <c r="G23" i="10"/>
  <c r="G23" i="9"/>
  <c r="G23" i="8"/>
  <c r="G23" i="7"/>
  <c r="G23" i="5"/>
  <c r="L23" i="3"/>
  <c r="G23"/>
  <c r="H5"/>
  <c r="M4"/>
  <c r="L4" i="4"/>
  <c r="L3" i="5"/>
  <c r="J23" i="4"/>
  <c r="J23" i="3"/>
  <c r="J3" i="5"/>
  <c r="J3" i="6" s="1"/>
  <c r="J3" i="7" s="1"/>
  <c r="J3" i="8" s="1"/>
  <c r="J3" i="9" s="1"/>
  <c r="J3" i="11" s="1"/>
  <c r="J3" i="10" s="1"/>
  <c r="J3" i="12" s="1"/>
  <c r="J3" i="13" s="1"/>
  <c r="F16" i="5"/>
  <c r="F16" i="6" s="1"/>
  <c r="H16" i="4"/>
  <c r="F15" i="5"/>
  <c r="F15" i="6" s="1"/>
  <c r="F15" i="7" s="1"/>
  <c r="F15" i="8" s="1"/>
  <c r="F15" i="9" s="1"/>
  <c r="F15" i="11" s="1"/>
  <c r="F15" i="10" s="1"/>
  <c r="F15" i="12" s="1"/>
  <c r="F15" i="13" s="1"/>
  <c r="F15" i="15" s="1"/>
  <c r="F12" i="5"/>
  <c r="F12" i="6" s="1"/>
  <c r="H12" i="4"/>
  <c r="F3"/>
  <c r="F25" s="1"/>
  <c r="F23" i="3"/>
  <c r="F23" i="2"/>
  <c r="H3"/>
  <c r="H25" s="1"/>
  <c r="H23"/>
  <c r="D12" i="6"/>
  <c r="D21" i="4"/>
  <c r="D21" i="5" s="1"/>
  <c r="H21" i="3"/>
  <c r="H20" i="4"/>
  <c r="H18" i="3"/>
  <c r="D18" i="4"/>
  <c r="D18" i="5" s="1"/>
  <c r="H14" i="4"/>
  <c r="D11"/>
  <c r="D11" i="5" s="1"/>
  <c r="D11" i="6" s="1"/>
  <c r="H11" i="3"/>
  <c r="D10" i="4"/>
  <c r="H10" i="3"/>
  <c r="H29" s="1"/>
  <c r="D9" i="4"/>
  <c r="D9" i="5" s="1"/>
  <c r="D9" i="6" s="1"/>
  <c r="H9" i="3"/>
  <c r="H7" i="4"/>
  <c r="D4"/>
  <c r="H4" i="3"/>
  <c r="D3" i="4"/>
  <c r="D3" i="5" s="1"/>
  <c r="H3" i="3"/>
  <c r="D23"/>
  <c r="D17" i="4"/>
  <c r="D17" i="5" s="1"/>
  <c r="H17" i="3"/>
  <c r="D13" i="4"/>
  <c r="D13" i="5" s="1"/>
  <c r="H13" i="3"/>
  <c r="D6" i="4"/>
  <c r="D6" i="5" s="1"/>
  <c r="H6" s="1"/>
  <c r="H6" i="3"/>
  <c r="H5" i="4"/>
  <c r="D8"/>
  <c r="D8" i="5" s="1"/>
  <c r="D8" i="6" s="1"/>
  <c r="D8" i="7" s="1"/>
  <c r="H8" i="3"/>
  <c r="D23" i="2"/>
  <c r="D24" i="14"/>
  <c r="H19" i="3"/>
  <c r="L3" i="6"/>
  <c r="L4" i="5"/>
  <c r="L4" i="6" s="1"/>
  <c r="L4" i="7" s="1"/>
  <c r="L4" i="8" s="1"/>
  <c r="L4" i="9" s="1"/>
  <c r="L4" i="11" s="1"/>
  <c r="L4" i="10" s="1"/>
  <c r="L4" i="12" s="1"/>
  <c r="F3" i="5"/>
  <c r="F3" i="6" s="1"/>
  <c r="F25" s="1"/>
  <c r="H8" i="4"/>
  <c r="D5" i="6"/>
  <c r="D5" i="7" s="1"/>
  <c r="H6" i="4"/>
  <c r="H13"/>
  <c r="H17"/>
  <c r="H18"/>
  <c r="H3"/>
  <c r="D19" i="6"/>
  <c r="D19" i="7" s="1"/>
  <c r="D19" i="8" s="1"/>
  <c r="D19" i="9" s="1"/>
  <c r="D19" i="11" s="1"/>
  <c r="D19" i="10" s="1"/>
  <c r="D19" i="12" s="1"/>
  <c r="D19" i="13" s="1"/>
  <c r="D19" i="15" s="1"/>
  <c r="H4" i="4"/>
  <c r="D7" i="6"/>
  <c r="D7" i="7" s="1"/>
  <c r="H9" i="4"/>
  <c r="H10"/>
  <c r="D28" i="5"/>
  <c r="H11" i="4"/>
  <c r="H14" i="5"/>
  <c r="H20"/>
  <c r="D20" i="6"/>
  <c r="D20" i="7" s="1"/>
  <c r="H21" i="4"/>
  <c r="D12" i="7"/>
  <c r="D12" i="8" s="1"/>
  <c r="D12" i="9" s="1"/>
  <c r="D12" i="11" s="1"/>
  <c r="D12" i="10" s="1"/>
  <c r="D12" i="12" s="1"/>
  <c r="D12" i="13" s="1"/>
  <c r="D12" i="15" s="1"/>
  <c r="L3" i="7"/>
  <c r="L3" i="8" s="1"/>
  <c r="L3" i="9" s="1"/>
  <c r="L3" i="11" s="1"/>
  <c r="L3" i="10" s="1"/>
  <c r="L3" i="12" s="1"/>
  <c r="H11" i="5"/>
  <c r="D18" i="6"/>
  <c r="D18" i="7" s="1"/>
  <c r="D18" i="8" s="1"/>
  <c r="D18" i="9" s="1"/>
  <c r="H18" i="5"/>
  <c r="D17" i="6"/>
  <c r="D17" i="7" s="1"/>
  <c r="H17" i="5"/>
  <c r="D13" i="6"/>
  <c r="H13" s="1"/>
  <c r="H13" i="5"/>
  <c r="D6" i="6"/>
  <c r="D6" i="7" s="1"/>
  <c r="H8" i="5"/>
  <c r="D21" i="6"/>
  <c r="D21" i="7" s="1"/>
  <c r="D21" i="8" s="1"/>
  <c r="D21" i="9" s="1"/>
  <c r="D21" i="11" s="1"/>
  <c r="D21" i="10" s="1"/>
  <c r="D21" i="12" s="1"/>
  <c r="D21" i="13" s="1"/>
  <c r="D21" i="15" s="1"/>
  <c r="H20" i="6"/>
  <c r="D3"/>
  <c r="H18"/>
  <c r="G26" i="12" l="1"/>
  <c r="G25" i="10"/>
  <c r="G25" i="9"/>
  <c r="G25" i="8"/>
  <c r="H20" i="7"/>
  <c r="D20" i="8"/>
  <c r="H20" s="1"/>
  <c r="D13" i="7"/>
  <c r="D13" i="8" s="1"/>
  <c r="D13" i="9" s="1"/>
  <c r="H17" i="6"/>
  <c r="H7"/>
  <c r="H6"/>
  <c r="G25"/>
  <c r="D3" i="7"/>
  <c r="D3" i="8" s="1"/>
  <c r="D3" i="9" s="1"/>
  <c r="F4" i="13"/>
  <c r="F4" i="15" s="1"/>
  <c r="D20" i="9"/>
  <c r="D20" i="11" s="1"/>
  <c r="D20" i="10" s="1"/>
  <c r="H13" i="7"/>
  <c r="H18" i="8"/>
  <c r="H17" i="7"/>
  <c r="D17" i="8"/>
  <c r="D17" i="9" s="1"/>
  <c r="D17" i="11" s="1"/>
  <c r="D17" i="10" s="1"/>
  <c r="D17" i="12" s="1"/>
  <c r="H16" i="5"/>
  <c r="H11" i="6"/>
  <c r="D11" i="7"/>
  <c r="D9"/>
  <c r="D9" i="8" s="1"/>
  <c r="H9" s="1"/>
  <c r="H9" i="6"/>
  <c r="D7" i="8"/>
  <c r="H7" s="1"/>
  <c r="H7" i="7"/>
  <c r="D6" i="8"/>
  <c r="H6" i="7"/>
  <c r="H5" i="6"/>
  <c r="H6" i="8"/>
  <c r="H12" i="5"/>
  <c r="H17" i="10"/>
  <c r="H20" i="11"/>
  <c r="H13" i="8"/>
  <c r="D9" i="9"/>
  <c r="F3" i="7"/>
  <c r="H3" i="6"/>
  <c r="F12" i="7"/>
  <c r="H12" s="1"/>
  <c r="H12" i="6"/>
  <c r="D14" i="7"/>
  <c r="H14" i="6"/>
  <c r="H18" i="9"/>
  <c r="D18" i="11"/>
  <c r="H5" i="7"/>
  <c r="D5" i="8"/>
  <c r="D5" i="9" s="1"/>
  <c r="D8" i="8"/>
  <c r="D8" i="9" s="1"/>
  <c r="H8" i="7"/>
  <c r="H8" i="8"/>
  <c r="H18" i="7"/>
  <c r="H8" i="6"/>
  <c r="H3" i="5"/>
  <c r="H9"/>
  <c r="H5"/>
  <c r="F12" i="8"/>
  <c r="F16" i="7"/>
  <c r="H16" i="6"/>
  <c r="L6" i="5"/>
  <c r="L23" i="4"/>
  <c r="F21" i="6"/>
  <c r="F29" s="1"/>
  <c r="H21" i="5"/>
  <c r="F19"/>
  <c r="H19" i="4"/>
  <c r="D28" i="7"/>
  <c r="H28" i="4"/>
  <c r="D15"/>
  <c r="J4" i="5"/>
  <c r="H22" i="3"/>
  <c r="H23" s="1"/>
  <c r="D30" i="4"/>
  <c r="D4" i="5"/>
  <c r="D29" i="4"/>
  <c r="D10" i="5"/>
  <c r="G25" i="13"/>
  <c r="G30" i="12"/>
  <c r="G29"/>
  <c r="G28"/>
  <c r="J29"/>
  <c r="J29" i="10"/>
  <c r="J29" i="11"/>
  <c r="J29" i="9"/>
  <c r="J29" i="8"/>
  <c r="J29" i="7"/>
  <c r="J29" i="6"/>
  <c r="J29" i="5"/>
  <c r="G29" i="10"/>
  <c r="G28"/>
  <c r="G30"/>
  <c r="J11" i="12"/>
  <c r="J28" s="1"/>
  <c r="J28" i="10"/>
  <c r="J28" i="7"/>
  <c r="G29" i="11"/>
  <c r="G28"/>
  <c r="G30"/>
  <c r="G29" i="9"/>
  <c r="G28"/>
  <c r="G30"/>
  <c r="J28" i="11"/>
  <c r="J28" i="9"/>
  <c r="J28" i="8"/>
  <c r="G29"/>
  <c r="G28"/>
  <c r="G30"/>
  <c r="G29" i="7"/>
  <c r="G28"/>
  <c r="G30"/>
  <c r="J28" i="6"/>
  <c r="G29"/>
  <c r="D28"/>
  <c r="G28"/>
  <c r="G30"/>
  <c r="J28" i="5"/>
  <c r="F29"/>
  <c r="D29"/>
  <c r="G29"/>
  <c r="F28"/>
  <c r="G28"/>
  <c r="G30"/>
  <c r="G28" i="4"/>
  <c r="G29"/>
  <c r="G30"/>
  <c r="G28" i="13"/>
  <c r="J28" i="4"/>
  <c r="J28" i="3"/>
  <c r="J29" i="4"/>
  <c r="J29" i="3"/>
  <c r="J30"/>
  <c r="J29" i="2"/>
  <c r="J30"/>
  <c r="J11" i="13"/>
  <c r="D29" i="3"/>
  <c r="H29" i="4"/>
  <c r="G29" i="3"/>
  <c r="F29" i="4"/>
  <c r="F29" i="3"/>
  <c r="D30"/>
  <c r="D28" i="4"/>
  <c r="H28" i="3"/>
  <c r="F28" i="4"/>
  <c r="F28" i="3"/>
  <c r="G28"/>
  <c r="D28"/>
  <c r="F30" i="4"/>
  <c r="F30" i="3"/>
  <c r="G30"/>
  <c r="J28" i="2"/>
  <c r="F29"/>
  <c r="H29"/>
  <c r="D29"/>
  <c r="F28"/>
  <c r="H28"/>
  <c r="G28"/>
  <c r="D28"/>
  <c r="F30"/>
  <c r="H30"/>
  <c r="G30"/>
  <c r="D30"/>
  <c r="J28" i="13"/>
  <c r="G27"/>
  <c r="G29"/>
  <c r="F22" i="5"/>
  <c r="F30" s="1"/>
  <c r="F23" i="4"/>
  <c r="D30" i="5"/>
  <c r="H22" i="4"/>
  <c r="D23"/>
  <c r="G25" i="11"/>
  <c r="G25" i="7"/>
  <c r="G25" i="4"/>
  <c r="D25"/>
  <c r="D7" i="9" l="1"/>
  <c r="H9" i="7"/>
  <c r="D3" i="11"/>
  <c r="D3" i="10" s="1"/>
  <c r="D6" i="9"/>
  <c r="H20"/>
  <c r="D17" i="13"/>
  <c r="H17" i="12"/>
  <c r="H17" i="8"/>
  <c r="H17" i="9"/>
  <c r="H17" i="11"/>
  <c r="H11" i="7"/>
  <c r="D11" i="8"/>
  <c r="H5"/>
  <c r="H7" i="9"/>
  <c r="D7" i="11"/>
  <c r="H8" i="9"/>
  <c r="D8" i="11"/>
  <c r="D14" i="8"/>
  <c r="H14" i="7"/>
  <c r="F25"/>
  <c r="F3" i="8"/>
  <c r="F25" s="1"/>
  <c r="H3" i="7"/>
  <c r="D9" i="11"/>
  <c r="H9" i="9"/>
  <c r="D5" i="11"/>
  <c r="H5" i="9"/>
  <c r="D18" i="10"/>
  <c r="H18" i="11"/>
  <c r="H13" i="9"/>
  <c r="D13" i="11"/>
  <c r="D20" i="12"/>
  <c r="H20" i="10"/>
  <c r="J30" i="5"/>
  <c r="M4"/>
  <c r="J4" i="6"/>
  <c r="J23" i="5"/>
  <c r="F19" i="6"/>
  <c r="H19" i="5"/>
  <c r="H28" s="1"/>
  <c r="F21" i="7"/>
  <c r="H21" i="6"/>
  <c r="L6"/>
  <c r="L23" i="5"/>
  <c r="H16" i="7"/>
  <c r="F16" i="8"/>
  <c r="H30" i="3"/>
  <c r="D15" i="5"/>
  <c r="D23" s="1"/>
  <c r="H15" i="4"/>
  <c r="H25" s="1"/>
  <c r="F12" i="9"/>
  <c r="H12" i="8"/>
  <c r="D10" i="6"/>
  <c r="H10" i="5"/>
  <c r="H29" s="1"/>
  <c r="D4" i="6"/>
  <c r="H4" i="5"/>
  <c r="J27" i="13"/>
  <c r="H30" i="4"/>
  <c r="F22" i="6"/>
  <c r="F30" s="1"/>
  <c r="F23" i="5"/>
  <c r="D22" i="6"/>
  <c r="H22" i="5"/>
  <c r="H17" i="13" l="1"/>
  <c r="D17" i="15"/>
  <c r="H17" s="1"/>
  <c r="H6" i="9"/>
  <c r="D6" i="11"/>
  <c r="D3" i="12"/>
  <c r="D3" i="13" s="1"/>
  <c r="D3" i="15" s="1"/>
  <c r="D11" i="9"/>
  <c r="H11" i="8"/>
  <c r="D28"/>
  <c r="D30" i="6"/>
  <c r="D7" i="10"/>
  <c r="H7" i="11"/>
  <c r="D13" i="10"/>
  <c r="H13" i="11"/>
  <c r="D14" i="9"/>
  <c r="H14" i="8"/>
  <c r="D20" i="13"/>
  <c r="H20" i="12"/>
  <c r="D18"/>
  <c r="H18" i="10"/>
  <c r="H5" i="11"/>
  <c r="D5" i="10"/>
  <c r="D9"/>
  <c r="H9" i="11"/>
  <c r="H3" i="8"/>
  <c r="F3" i="9"/>
  <c r="F25" s="1"/>
  <c r="D8" i="10"/>
  <c r="H8" i="11"/>
  <c r="H12" i="9"/>
  <c r="F12" i="11"/>
  <c r="D15" i="6"/>
  <c r="D25" s="1"/>
  <c r="H15" i="5"/>
  <c r="L6" i="7"/>
  <c r="L23" i="6"/>
  <c r="H21" i="7"/>
  <c r="F21" i="8"/>
  <c r="F29" i="7"/>
  <c r="F19"/>
  <c r="H19" i="6"/>
  <c r="H28" s="1"/>
  <c r="F28"/>
  <c r="J30"/>
  <c r="J23"/>
  <c r="J4" i="7"/>
  <c r="M4" i="6"/>
  <c r="H23" i="4"/>
  <c r="F16" i="9"/>
  <c r="H16" i="8"/>
  <c r="D4" i="7"/>
  <c r="H4" i="6"/>
  <c r="D29"/>
  <c r="D10" i="7"/>
  <c r="H10" i="6"/>
  <c r="H29" s="1"/>
  <c r="H23" i="5"/>
  <c r="H30"/>
  <c r="F22" i="7"/>
  <c r="F30" s="1"/>
  <c r="F23" i="6"/>
  <c r="D22" i="7"/>
  <c r="H22" i="6"/>
  <c r="H20" i="13" l="1"/>
  <c r="D20" i="15"/>
  <c r="H20" s="1"/>
  <c r="D23" i="6"/>
  <c r="D30" i="7"/>
  <c r="D6" i="10"/>
  <c r="H6" i="11"/>
  <c r="H11" i="9"/>
  <c r="D11" i="11"/>
  <c r="D28" i="9"/>
  <c r="H7" i="10"/>
  <c r="D7" i="12"/>
  <c r="D8"/>
  <c r="H8" i="10"/>
  <c r="D9" i="12"/>
  <c r="H9" i="10"/>
  <c r="D18" i="13"/>
  <c r="H18" i="12"/>
  <c r="D13"/>
  <c r="H13" i="10"/>
  <c r="F3" i="11"/>
  <c r="H3" i="9"/>
  <c r="D5" i="12"/>
  <c r="H5" i="10"/>
  <c r="H14" i="9"/>
  <c r="D14" i="11"/>
  <c r="F19" i="8"/>
  <c r="H19" i="7"/>
  <c r="H28" s="1"/>
  <c r="F28"/>
  <c r="F21" i="9"/>
  <c r="H21" i="8"/>
  <c r="F29"/>
  <c r="F16" i="11"/>
  <c r="H16" i="9"/>
  <c r="J30" i="7"/>
  <c r="J4" i="8"/>
  <c r="J23" i="7"/>
  <c r="L6" i="8"/>
  <c r="L23" i="7"/>
  <c r="D15"/>
  <c r="H15" i="6"/>
  <c r="H25" s="1"/>
  <c r="F12" i="10"/>
  <c r="H12" i="11"/>
  <c r="D10" i="8"/>
  <c r="H10" i="7"/>
  <c r="H29" s="1"/>
  <c r="D29"/>
  <c r="D4" i="8"/>
  <c r="H4" i="7"/>
  <c r="H23" i="6"/>
  <c r="H30"/>
  <c r="F22" i="8"/>
  <c r="F30" s="1"/>
  <c r="F23" i="7"/>
  <c r="D22" i="8"/>
  <c r="H22" i="7"/>
  <c r="D23"/>
  <c r="H18" i="13" l="1"/>
  <c r="D18" i="15"/>
  <c r="H18" s="1"/>
  <c r="H6" i="10"/>
  <c r="D6" i="12"/>
  <c r="H11" i="11"/>
  <c r="D11" i="10"/>
  <c r="D28" i="11"/>
  <c r="D30" i="8"/>
  <c r="D7" i="13"/>
  <c r="H7" i="12"/>
  <c r="D14" i="10"/>
  <c r="H14" i="11"/>
  <c r="H9" i="12"/>
  <c r="D9" i="13"/>
  <c r="D8"/>
  <c r="H8" i="12"/>
  <c r="H5"/>
  <c r="D5" i="13"/>
  <c r="F25" i="11"/>
  <c r="H3"/>
  <c r="F3" i="10"/>
  <c r="F25" s="1"/>
  <c r="D13" i="13"/>
  <c r="H13" i="12"/>
  <c r="F16" i="10"/>
  <c r="H16" i="11"/>
  <c r="F21"/>
  <c r="H21" i="9"/>
  <c r="F29"/>
  <c r="F12" i="12"/>
  <c r="H12" i="10"/>
  <c r="H15" i="7"/>
  <c r="H25" s="1"/>
  <c r="D15" i="8"/>
  <c r="D25" s="1"/>
  <c r="D25" i="7"/>
  <c r="L23" i="8"/>
  <c r="L6" i="9"/>
  <c r="J30" i="8"/>
  <c r="J4" i="9"/>
  <c r="J23" i="8"/>
  <c r="M4"/>
  <c r="H19"/>
  <c r="H28" s="1"/>
  <c r="F19" i="9"/>
  <c r="F28" i="8"/>
  <c r="H4"/>
  <c r="D4" i="9"/>
  <c r="H10" i="8"/>
  <c r="H29" s="1"/>
  <c r="D10" i="9"/>
  <c r="D29" i="8"/>
  <c r="H30" i="7"/>
  <c r="F22" i="9"/>
  <c r="F30" s="1"/>
  <c r="F23" i="8"/>
  <c r="H22"/>
  <c r="D22" i="9"/>
  <c r="D23" i="8"/>
  <c r="H13" i="13" l="1"/>
  <c r="D13" i="15"/>
  <c r="H13" s="1"/>
  <c r="H9" i="13"/>
  <c r="D9" i="15"/>
  <c r="H9" s="1"/>
  <c r="H8" i="13"/>
  <c r="D8" i="15"/>
  <c r="H8" s="1"/>
  <c r="H7" i="13"/>
  <c r="D7" i="15"/>
  <c r="H7" s="1"/>
  <c r="H5" i="13"/>
  <c r="D5" i="15"/>
  <c r="H5" s="1"/>
  <c r="H23" i="7"/>
  <c r="H6" i="12"/>
  <c r="D6" i="13"/>
  <c r="H11" i="10"/>
  <c r="D28"/>
  <c r="D11" i="12"/>
  <c r="D30" i="9"/>
  <c r="F3" i="12"/>
  <c r="H3" i="10"/>
  <c r="H14"/>
  <c r="D14" i="12"/>
  <c r="F19" i="11"/>
  <c r="H19" i="9"/>
  <c r="H28" s="1"/>
  <c r="F28"/>
  <c r="J30"/>
  <c r="J4" i="11"/>
  <c r="J23" i="9"/>
  <c r="L6" i="11"/>
  <c r="L23" i="9"/>
  <c r="D15"/>
  <c r="D25" s="1"/>
  <c r="H15" i="8"/>
  <c r="H25" s="1"/>
  <c r="F12" i="13"/>
  <c r="F12" i="15" s="1"/>
  <c r="H12" s="1"/>
  <c r="H12" i="12"/>
  <c r="F21" i="10"/>
  <c r="H21" i="11"/>
  <c r="F29"/>
  <c r="H16" i="10"/>
  <c r="F16" i="12"/>
  <c r="F26" s="1"/>
  <c r="D29" i="9"/>
  <c r="D10" i="11"/>
  <c r="H10" i="9"/>
  <c r="H29" s="1"/>
  <c r="D4" i="11"/>
  <c r="H4" i="9"/>
  <c r="H23" i="8"/>
  <c r="H30"/>
  <c r="F22" i="11"/>
  <c r="F30" s="1"/>
  <c r="F23" i="9"/>
  <c r="D22" i="11"/>
  <c r="D30" s="1"/>
  <c r="H22" i="9"/>
  <c r="D23"/>
  <c r="H6" i="13" l="1"/>
  <c r="D6" i="15"/>
  <c r="H11" i="12"/>
  <c r="D11" i="13"/>
  <c r="D11" i="15" s="1"/>
  <c r="D28" i="12"/>
  <c r="H3"/>
  <c r="F3" i="13"/>
  <c r="F3" i="15" s="1"/>
  <c r="D14" i="13"/>
  <c r="H14" i="12"/>
  <c r="H12" i="13"/>
  <c r="H15" i="9"/>
  <c r="H25" s="1"/>
  <c r="D15" i="11"/>
  <c r="J30"/>
  <c r="J23"/>
  <c r="J4" i="10"/>
  <c r="M4" i="11"/>
  <c r="F19" i="10"/>
  <c r="H19" i="11"/>
  <c r="H28" s="1"/>
  <c r="F28"/>
  <c r="F16" i="13"/>
  <c r="H16" i="12"/>
  <c r="H21" i="10"/>
  <c r="F21" i="12"/>
  <c r="F29" i="10"/>
  <c r="L6"/>
  <c r="L23" i="11"/>
  <c r="D4" i="10"/>
  <c r="H4" i="11"/>
  <c r="D10" i="10"/>
  <c r="H10" i="11"/>
  <c r="H29" s="1"/>
  <c r="D29"/>
  <c r="H23" i="9"/>
  <c r="H30"/>
  <c r="F22" i="10"/>
  <c r="F30" s="1"/>
  <c r="F23" i="11"/>
  <c r="D22" i="10"/>
  <c r="D30" s="1"/>
  <c r="H22" i="11"/>
  <c r="D23"/>
  <c r="H16" i="13" l="1"/>
  <c r="F16" i="15"/>
  <c r="H14" i="13"/>
  <c r="D14" i="15"/>
  <c r="H14" s="1"/>
  <c r="D27"/>
  <c r="H11"/>
  <c r="H6"/>
  <c r="F25"/>
  <c r="H3"/>
  <c r="H11" i="13"/>
  <c r="D27"/>
  <c r="F25"/>
  <c r="H3"/>
  <c r="L6" i="12"/>
  <c r="L23" i="10"/>
  <c r="F21" i="13"/>
  <c r="F21" i="15" s="1"/>
  <c r="H21" i="12"/>
  <c r="F29"/>
  <c r="F19"/>
  <c r="H19" i="10"/>
  <c r="H28" s="1"/>
  <c r="F28"/>
  <c r="J30"/>
  <c r="J4" i="12"/>
  <c r="J23" i="10"/>
  <c r="M4"/>
  <c r="D15"/>
  <c r="D25" s="1"/>
  <c r="H15" i="11"/>
  <c r="H25" s="1"/>
  <c r="D25"/>
  <c r="D29" i="10"/>
  <c r="D10" i="12"/>
  <c r="H10" i="10"/>
  <c r="H29" s="1"/>
  <c r="D4" i="12"/>
  <c r="H4" i="10"/>
  <c r="H30" i="11"/>
  <c r="F22" i="12"/>
  <c r="F30" s="1"/>
  <c r="F23" i="10"/>
  <c r="D22" i="12"/>
  <c r="H22" i="10"/>
  <c r="D23"/>
  <c r="H21" i="15" l="1"/>
  <c r="F28"/>
  <c r="H16"/>
  <c r="D30" i="12"/>
  <c r="H23" i="11"/>
  <c r="H21" i="13"/>
  <c r="F28"/>
  <c r="L23"/>
  <c r="L23" i="12"/>
  <c r="D15"/>
  <c r="D26" s="1"/>
  <c r="H15" i="10"/>
  <c r="J30" i="12"/>
  <c r="J4" i="13"/>
  <c r="M4" i="12"/>
  <c r="J23"/>
  <c r="H19"/>
  <c r="H28" s="1"/>
  <c r="F19" i="13"/>
  <c r="F19" i="15" s="1"/>
  <c r="H19" s="1"/>
  <c r="H27" s="1"/>
  <c r="F28" i="12"/>
  <c r="D4" i="13"/>
  <c r="H4" i="12"/>
  <c r="D10" i="13"/>
  <c r="D10" i="15" s="1"/>
  <c r="H10" i="12"/>
  <c r="H29" s="1"/>
  <c r="D29"/>
  <c r="H30" i="10"/>
  <c r="F22" i="13"/>
  <c r="F22" i="15" s="1"/>
  <c r="F23" i="12"/>
  <c r="D22" i="13"/>
  <c r="D22" i="15" s="1"/>
  <c r="H22" i="12"/>
  <c r="F27" i="15" l="1"/>
  <c r="F29"/>
  <c r="F23"/>
  <c r="H22"/>
  <c r="D28"/>
  <c r="H10"/>
  <c r="H28" s="1"/>
  <c r="H4" i="13"/>
  <c r="D4" i="15"/>
  <c r="D23" i="12"/>
  <c r="H23" i="10"/>
  <c r="H25"/>
  <c r="D29" i="13"/>
  <c r="D15"/>
  <c r="D15" i="15" s="1"/>
  <c r="H15" i="12"/>
  <c r="H26" s="1"/>
  <c r="H19" i="13"/>
  <c r="H27" s="1"/>
  <c r="F27"/>
  <c r="J29"/>
  <c r="M4"/>
  <c r="J23"/>
  <c r="D28"/>
  <c r="H10"/>
  <c r="H28" s="1"/>
  <c r="H23" i="12"/>
  <c r="H30"/>
  <c r="F23" i="13"/>
  <c r="F29"/>
  <c r="H22"/>
  <c r="D23"/>
  <c r="H15" i="15" l="1"/>
  <c r="H25" s="1"/>
  <c r="D25"/>
  <c r="D29"/>
  <c r="H4"/>
  <c r="D23"/>
  <c r="D25" i="13"/>
  <c r="H15"/>
  <c r="H25" s="1"/>
  <c r="H29"/>
  <c r="H29" i="15" l="1"/>
  <c r="H23"/>
  <c r="H23" i="13"/>
</calcChain>
</file>

<file path=xl/sharedStrings.xml><?xml version="1.0" encoding="utf-8"?>
<sst xmlns="http://schemas.openxmlformats.org/spreadsheetml/2006/main" count="279" uniqueCount="55">
  <si>
    <t>п/п</t>
  </si>
  <si>
    <t>Виды услуг</t>
  </si>
  <si>
    <t>нач. за месяц</t>
  </si>
  <si>
    <t>нач. с нач. года</t>
  </si>
  <si>
    <t>упл. жильц.за мес.</t>
  </si>
  <si>
    <t>упл.ж. с нач года</t>
  </si>
  <si>
    <t>разн. за мес.</t>
  </si>
  <si>
    <t>разн. с нач. отч. пер.</t>
  </si>
  <si>
    <t>выст. за мес.</t>
  </si>
  <si>
    <t xml:space="preserve">выст.с нач.года </t>
  </si>
  <si>
    <t>упл. Рел. в мес.</t>
  </si>
  <si>
    <t>Упл. с нач. года</t>
  </si>
  <si>
    <t>итого</t>
  </si>
  <si>
    <t>Отопление</t>
  </si>
  <si>
    <t xml:space="preserve">Содер общ им </t>
  </si>
  <si>
    <t>Горячее водоснабжение</t>
  </si>
  <si>
    <t>Холодная вода</t>
  </si>
  <si>
    <t>Управление многокварт.домом</t>
  </si>
  <si>
    <t>Художников д.22 к.2</t>
  </si>
  <si>
    <t>Художников 22 к.2</t>
  </si>
  <si>
    <t>Содержание общ.имущ.дома</t>
  </si>
  <si>
    <t>Сод.и ремонт АППЗ</t>
  </si>
  <si>
    <t>Сод.и ремонт лифтов</t>
  </si>
  <si>
    <t>Очистка мусоропроводов</t>
  </si>
  <si>
    <t>Уборка и сан.очистка зем.уч.</t>
  </si>
  <si>
    <t>Электроснабжение(инд.потр)</t>
  </si>
  <si>
    <t>Канализирование х.воды</t>
  </si>
  <si>
    <t>Канализирование г.воды</t>
  </si>
  <si>
    <t>Тек.ремонт общ.имущ.дома</t>
  </si>
  <si>
    <t>Водоотведение (кв)</t>
  </si>
  <si>
    <t>Эксплуатация общедомовых ПУ</t>
  </si>
  <si>
    <t>Хол.водоснабжение(о/д нужды)</t>
  </si>
  <si>
    <t>Водоотведение(о/д нужды)</t>
  </si>
  <si>
    <t>Отопление (о/д нужды)</t>
  </si>
  <si>
    <t>Электроснабжение(оющед.нужд)</t>
  </si>
  <si>
    <t>Горячее водоснабжение(о/д нужды)</t>
  </si>
  <si>
    <t>Форма 22</t>
  </si>
  <si>
    <t>Горячее водоснабжение (о/д)</t>
  </si>
  <si>
    <t>водоканал</t>
  </si>
  <si>
    <t>ПСК</t>
  </si>
  <si>
    <t>ГУПТЭК</t>
  </si>
  <si>
    <t xml:space="preserve">Художников 22 к2    </t>
  </si>
  <si>
    <t>Январь 2018г</t>
  </si>
  <si>
    <t>Февраль 2018г</t>
  </si>
  <si>
    <t>Март 2018г</t>
  </si>
  <si>
    <t>Апрель 2018г</t>
  </si>
  <si>
    <t>Май 2018г.</t>
  </si>
  <si>
    <t>Июнь 2018г.</t>
  </si>
  <si>
    <t>Июль 2018г.</t>
  </si>
  <si>
    <t>Август  2018г.</t>
  </si>
  <si>
    <t>Художников 22 к2               Сентябрь   2018г.</t>
  </si>
  <si>
    <t>Художников 22 к2                      Октябрь 2018г.</t>
  </si>
  <si>
    <t>Художников 22 к2                 Ноябрь 2018г</t>
  </si>
  <si>
    <t>за Декабрь 2018г.</t>
  </si>
  <si>
    <t>за Январь 2019г.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</si>
</sst>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_ ;[Red]\-0.00\ "/>
    <numFmt numFmtId="166" formatCode="#,##0.00_ ;\-#,##0.00\ "/>
    <numFmt numFmtId="167" formatCode="#,##0.00\ _₽"/>
  </numFmts>
  <fonts count="10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sz val="10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shrinkToFit="1"/>
    </xf>
    <xf numFmtId="2" fontId="0" fillId="0" borderId="1" xfId="0" applyNumberFormat="1" applyBorder="1" applyAlignment="1">
      <alignment horizontal="center" shrinkToFit="1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 shrinkToFit="1"/>
    </xf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wrapText="1" shrinkToFit="1"/>
    </xf>
    <xf numFmtId="0" fontId="2" fillId="2" borderId="1" xfId="0" applyFont="1" applyFill="1" applyBorder="1" applyAlignment="1">
      <alignment horizontal="center" wrapText="1" shrinkToFit="1"/>
    </xf>
    <xf numFmtId="165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wrapText="1" shrinkToFit="1"/>
    </xf>
    <xf numFmtId="165" fontId="0" fillId="2" borderId="1" xfId="0" applyNumberFormat="1" applyFill="1" applyBorder="1"/>
    <xf numFmtId="2" fontId="0" fillId="2" borderId="1" xfId="0" applyNumberFormat="1" applyFill="1" applyBorder="1" applyAlignment="1">
      <alignment horizontal="center" shrinkToFit="1"/>
    </xf>
    <xf numFmtId="0" fontId="0" fillId="2" borderId="1" xfId="0" applyFill="1" applyBorder="1"/>
    <xf numFmtId="165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165" fontId="0" fillId="0" borderId="0" xfId="0" applyNumberFormat="1"/>
    <xf numFmtId="0" fontId="0" fillId="0" borderId="1" xfId="0" applyBorder="1" applyAlignment="1">
      <alignment horizontal="center" wrapText="1" shrinkToFit="1"/>
    </xf>
    <xf numFmtId="49" fontId="0" fillId="0" borderId="1" xfId="0" applyNumberFormat="1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0" fontId="0" fillId="0" borderId="1" xfId="0" applyBorder="1" applyAlignment="1">
      <alignment wrapText="1" shrinkToFit="1"/>
    </xf>
    <xf numFmtId="0" fontId="0" fillId="2" borderId="1" xfId="0" applyFill="1" applyBorder="1" applyAlignment="1">
      <alignment wrapText="1" shrinkToFi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left" vertical="center" wrapText="1" shrinkToFit="1"/>
    </xf>
    <xf numFmtId="0" fontId="3" fillId="2" borderId="0" xfId="0" applyFont="1" applyFill="1" applyAlignment="1">
      <alignment horizontal="left" vertical="center" wrapText="1" shrinkToFit="1"/>
    </xf>
    <xf numFmtId="0" fontId="3" fillId="0" borderId="0" xfId="0" applyFont="1"/>
    <xf numFmtId="0" fontId="3" fillId="0" borderId="1" xfId="0" applyFont="1" applyBorder="1" applyAlignment="1">
      <alignment horizontal="center" wrapText="1" shrinkToFit="1"/>
    </xf>
    <xf numFmtId="2" fontId="3" fillId="2" borderId="1" xfId="0" applyNumberFormat="1" applyFont="1" applyFill="1" applyBorder="1" applyAlignment="1">
      <alignment horizontal="center" shrinkToFit="1"/>
    </xf>
    <xf numFmtId="0" fontId="4" fillId="0" borderId="0" xfId="0" applyFont="1"/>
    <xf numFmtId="0" fontId="4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/>
    </xf>
    <xf numFmtId="0" fontId="0" fillId="3" borderId="1" xfId="0" applyFill="1" applyBorder="1"/>
    <xf numFmtId="165" fontId="0" fillId="3" borderId="1" xfId="0" applyNumberForma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 shrinkToFit="1"/>
    </xf>
    <xf numFmtId="49" fontId="5" fillId="0" borderId="1" xfId="0" applyNumberFormat="1" applyFont="1" applyBorder="1" applyAlignment="1">
      <alignment horizontal="center" wrapText="1" shrinkToFit="1"/>
    </xf>
    <xf numFmtId="0" fontId="5" fillId="2" borderId="1" xfId="0" applyFont="1" applyFill="1" applyBorder="1" applyAlignment="1">
      <alignment horizontal="center" wrapText="1" shrinkToFit="1"/>
    </xf>
    <xf numFmtId="0" fontId="5" fillId="0" borderId="1" xfId="0" applyFont="1" applyBorder="1" applyAlignment="1">
      <alignment wrapText="1" shrinkToFit="1"/>
    </xf>
    <xf numFmtId="0" fontId="5" fillId="2" borderId="1" xfId="0" applyFont="1" applyFill="1" applyBorder="1" applyAlignment="1">
      <alignment wrapText="1" shrinkToFit="1"/>
    </xf>
    <xf numFmtId="0" fontId="5" fillId="0" borderId="0" xfId="0" applyFont="1" applyAlignment="1">
      <alignment wrapText="1"/>
    </xf>
    <xf numFmtId="0" fontId="5" fillId="0" borderId="1" xfId="0" applyFont="1" applyBorder="1"/>
    <xf numFmtId="2" fontId="5" fillId="2" borderId="1" xfId="0" applyNumberFormat="1" applyFont="1" applyFill="1" applyBorder="1" applyAlignment="1">
      <alignment horizontal="left" vertical="center" wrapText="1" shrinkToFit="1"/>
    </xf>
    <xf numFmtId="165" fontId="5" fillId="0" borderId="1" xfId="0" applyNumberFormat="1" applyFont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0" borderId="1" xfId="0" applyNumberFormat="1" applyFont="1" applyBorder="1"/>
    <xf numFmtId="165" fontId="5" fillId="2" borderId="1" xfId="0" applyNumberFormat="1" applyFont="1" applyFill="1" applyBorder="1"/>
    <xf numFmtId="0" fontId="5" fillId="0" borderId="0" xfId="0" applyFont="1"/>
    <xf numFmtId="165" fontId="5" fillId="0" borderId="0" xfId="0" applyNumberFormat="1" applyFont="1"/>
    <xf numFmtId="0" fontId="5" fillId="2" borderId="1" xfId="0" applyFont="1" applyFill="1" applyBorder="1"/>
    <xf numFmtId="2" fontId="5" fillId="2" borderId="1" xfId="0" applyNumberFormat="1" applyFont="1" applyFill="1" applyBorder="1" applyAlignment="1">
      <alignment horizontal="center" shrinkToFit="1"/>
    </xf>
    <xf numFmtId="0" fontId="6" fillId="0" borderId="0" xfId="0" applyFont="1"/>
    <xf numFmtId="0" fontId="3" fillId="3" borderId="1" xfId="0" applyFont="1" applyFill="1" applyBorder="1" applyAlignment="1">
      <alignment horizontal="center"/>
    </xf>
    <xf numFmtId="0" fontId="0" fillId="3" borderId="0" xfId="0" applyFill="1"/>
    <xf numFmtId="0" fontId="7" fillId="0" borderId="0" xfId="0" applyFont="1"/>
    <xf numFmtId="2" fontId="4" fillId="2" borderId="1" xfId="0" applyNumberFormat="1" applyFont="1" applyFill="1" applyBorder="1" applyAlignment="1">
      <alignment horizontal="left" vertical="center" wrapText="1" shrinkToFit="1"/>
    </xf>
    <xf numFmtId="166" fontId="0" fillId="0" borderId="1" xfId="0" applyNumberFormat="1" applyBorder="1"/>
    <xf numFmtId="165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/>
    <xf numFmtId="2" fontId="8" fillId="2" borderId="1" xfId="0" applyNumberFormat="1" applyFont="1" applyFill="1" applyBorder="1" applyAlignment="1">
      <alignment horizontal="left" vertical="center" wrapText="1" shrinkToFit="1"/>
    </xf>
    <xf numFmtId="164" fontId="0" fillId="0" borderId="0" xfId="1" applyFont="1"/>
    <xf numFmtId="164" fontId="2" fillId="0" borderId="0" xfId="1" applyFont="1"/>
    <xf numFmtId="0" fontId="0" fillId="0" borderId="0" xfId="0" applyFill="1"/>
    <xf numFmtId="2" fontId="4" fillId="2" borderId="1" xfId="0" applyNumberFormat="1" applyFont="1" applyFill="1" applyBorder="1" applyAlignment="1">
      <alignment horizontal="center" shrinkToFit="1"/>
    </xf>
    <xf numFmtId="165" fontId="1" fillId="0" borderId="1" xfId="0" applyNumberFormat="1" applyFont="1" applyBorder="1"/>
    <xf numFmtId="0" fontId="1" fillId="0" borderId="0" xfId="0" applyFont="1"/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shrinkToFit="1"/>
    </xf>
    <xf numFmtId="167" fontId="0" fillId="0" borderId="1" xfId="0" applyNumberFormat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167" fontId="0" fillId="0" borderId="1" xfId="0" applyNumberFormat="1" applyBorder="1"/>
    <xf numFmtId="167" fontId="0" fillId="2" borderId="1" xfId="0" applyNumberFormat="1" applyFill="1" applyBorder="1"/>
    <xf numFmtId="167" fontId="2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/>
    <xf numFmtId="167" fontId="0" fillId="0" borderId="0" xfId="0" applyNumberFormat="1"/>
    <xf numFmtId="167" fontId="0" fillId="3" borderId="1" xfId="0" applyNumberFormat="1" applyFill="1" applyBorder="1"/>
    <xf numFmtId="167" fontId="0" fillId="0" borderId="1" xfId="0" applyNumberFormat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vertical="center"/>
    </xf>
    <xf numFmtId="167" fontId="0" fillId="2" borderId="1" xfId="0" applyNumberFormat="1" applyFill="1" applyBorder="1" applyAlignment="1">
      <alignment vertical="center"/>
    </xf>
    <xf numFmtId="167" fontId="0" fillId="0" borderId="0" xfId="0" applyNumberFormat="1" applyAlignment="1">
      <alignment vertical="center"/>
    </xf>
    <xf numFmtId="167" fontId="0" fillId="3" borderId="1" xfId="0" applyNumberForma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B25" sqref="B25:H25"/>
    </sheetView>
  </sheetViews>
  <sheetFormatPr defaultRowHeight="12.75"/>
  <cols>
    <col min="1" max="1" width="3.5703125" customWidth="1"/>
    <col min="2" max="2" width="29.5703125" customWidth="1"/>
    <col min="3" max="4" width="10.42578125" customWidth="1"/>
    <col min="5" max="5" width="10.28515625" customWidth="1"/>
    <col min="6" max="6" width="10.85546875" customWidth="1"/>
    <col min="7" max="7" width="11.5703125" customWidth="1"/>
    <col min="8" max="9" width="11.140625" customWidth="1"/>
    <col min="10" max="10" width="10.85546875" customWidth="1"/>
    <col min="11" max="11" width="10.140625" bestFit="1" customWidth="1"/>
    <col min="12" max="12" width="11" customWidth="1"/>
    <col min="13" max="13" width="10.7109375" bestFit="1" customWidth="1"/>
    <col min="14" max="14" width="10.140625" bestFit="1" customWidth="1"/>
  </cols>
  <sheetData>
    <row r="1" spans="1:14" ht="21" customHeight="1">
      <c r="B1" s="12" t="s">
        <v>18</v>
      </c>
      <c r="D1" t="s">
        <v>42</v>
      </c>
      <c r="E1" s="11"/>
      <c r="G1" s="12"/>
    </row>
    <row r="2" spans="1:14" s="32" customFormat="1" ht="38.25">
      <c r="A2" s="31" t="s">
        <v>0</v>
      </c>
      <c r="B2" s="26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4">
      <c r="A3" s="1">
        <v>1</v>
      </c>
      <c r="B3" s="34" t="s">
        <v>20</v>
      </c>
      <c r="C3" s="8">
        <f>60352.06+2466.9</f>
        <v>62818.96</v>
      </c>
      <c r="D3" s="33">
        <f>C3</f>
        <v>62818.96</v>
      </c>
      <c r="E3" s="9">
        <f>4156.14+44702.64</f>
        <v>48858.78</v>
      </c>
      <c r="F3" s="33">
        <f>E3</f>
        <v>48858.78</v>
      </c>
      <c r="G3" s="18">
        <f>E3-C3</f>
        <v>-13960.18</v>
      </c>
      <c r="H3" s="20">
        <f>F3-D3</f>
        <v>-13960.18</v>
      </c>
      <c r="I3" s="9"/>
      <c r="J3" s="20">
        <f>I3</f>
        <v>0</v>
      </c>
      <c r="K3" s="8"/>
      <c r="L3" s="33">
        <f>K3</f>
        <v>0</v>
      </c>
    </row>
    <row r="4" spans="1:14">
      <c r="A4" s="1">
        <f>A3+1</f>
        <v>2</v>
      </c>
      <c r="B4" s="34" t="s">
        <v>13</v>
      </c>
      <c r="C4" s="8">
        <f>20587.85+228760.95</f>
        <v>249348.80000000002</v>
      </c>
      <c r="D4" s="33">
        <f t="shared" ref="D4:D22" si="0">C4</f>
        <v>249348.80000000002</v>
      </c>
      <c r="E4" s="9">
        <f>130881.29+12348.34</f>
        <v>143229.63</v>
      </c>
      <c r="F4" s="33">
        <f t="shared" ref="F4:F22" si="1">E4</f>
        <v>143229.63</v>
      </c>
      <c r="G4" s="18">
        <f t="shared" ref="G4:G22" si="2">E4-C4</f>
        <v>-106119.17000000001</v>
      </c>
      <c r="H4" s="20">
        <f t="shared" ref="H4:H22" si="3">F4-D4</f>
        <v>-106119.17000000001</v>
      </c>
      <c r="I4" s="9"/>
      <c r="J4" s="20">
        <f t="shared" ref="J4:J22" si="4">I4</f>
        <v>0</v>
      </c>
      <c r="K4" s="8"/>
      <c r="L4" s="33">
        <f t="shared" ref="L4:L22" si="5">K4</f>
        <v>0</v>
      </c>
      <c r="M4" s="25">
        <f>K4-I4</f>
        <v>0</v>
      </c>
      <c r="N4" s="25"/>
    </row>
    <row r="5" spans="1:14">
      <c r="A5" s="1">
        <f t="shared" ref="A5:A22" si="6">A4+1</f>
        <v>3</v>
      </c>
      <c r="B5" s="34" t="s">
        <v>15</v>
      </c>
      <c r="C5" s="8">
        <f>13221.09+109119.12</f>
        <v>122340.20999999999</v>
      </c>
      <c r="D5" s="33">
        <f t="shared" si="0"/>
        <v>122340.20999999999</v>
      </c>
      <c r="E5" s="9">
        <f>10894.28+85187.36</f>
        <v>96081.64</v>
      </c>
      <c r="F5" s="33">
        <f t="shared" si="1"/>
        <v>96081.64</v>
      </c>
      <c r="G5" s="18">
        <f t="shared" si="2"/>
        <v>-26258.569999999992</v>
      </c>
      <c r="H5" s="20">
        <f t="shared" si="3"/>
        <v>-26258.569999999992</v>
      </c>
      <c r="I5" s="9"/>
      <c r="J5" s="20">
        <f t="shared" si="4"/>
        <v>0</v>
      </c>
      <c r="K5" s="8"/>
      <c r="L5" s="33">
        <f t="shared" si="5"/>
        <v>0</v>
      </c>
    </row>
    <row r="6" spans="1:14">
      <c r="A6" s="1">
        <f t="shared" si="6"/>
        <v>4</v>
      </c>
      <c r="B6" s="34" t="s">
        <v>21</v>
      </c>
      <c r="C6" s="8">
        <f>62.67+2239.41</f>
        <v>2302.08</v>
      </c>
      <c r="D6" s="33">
        <f t="shared" si="0"/>
        <v>2302.08</v>
      </c>
      <c r="E6" s="9">
        <f>153.66+1669.49</f>
        <v>1823.15</v>
      </c>
      <c r="F6" s="33">
        <f t="shared" si="1"/>
        <v>1823.15</v>
      </c>
      <c r="G6" s="18">
        <f t="shared" si="2"/>
        <v>-478.92999999999984</v>
      </c>
      <c r="H6" s="20">
        <f t="shared" si="3"/>
        <v>-478.92999999999984</v>
      </c>
      <c r="I6" s="9"/>
      <c r="J6" s="20">
        <f t="shared" si="4"/>
        <v>0</v>
      </c>
      <c r="K6" s="8"/>
      <c r="L6" s="33">
        <f t="shared" si="5"/>
        <v>0</v>
      </c>
    </row>
    <row r="7" spans="1:14">
      <c r="A7" s="1">
        <f t="shared" si="6"/>
        <v>5</v>
      </c>
      <c r="B7" s="35" t="s">
        <v>22</v>
      </c>
      <c r="C7" s="8">
        <f>691.64+16897.32</f>
        <v>17588.96</v>
      </c>
      <c r="D7" s="33">
        <f t="shared" si="0"/>
        <v>17588.96</v>
      </c>
      <c r="E7" s="9">
        <f>1256.29+12258.3</f>
        <v>13514.59</v>
      </c>
      <c r="F7" s="33">
        <f t="shared" si="1"/>
        <v>13514.59</v>
      </c>
      <c r="G7" s="18">
        <f t="shared" si="2"/>
        <v>-4074.369999999999</v>
      </c>
      <c r="H7" s="20">
        <f t="shared" si="3"/>
        <v>-4074.369999999999</v>
      </c>
      <c r="I7" s="9"/>
      <c r="J7" s="20">
        <f t="shared" si="4"/>
        <v>0</v>
      </c>
      <c r="K7" s="8"/>
      <c r="L7" s="33">
        <f t="shared" si="5"/>
        <v>0</v>
      </c>
    </row>
    <row r="8" spans="1:14">
      <c r="A8" s="1">
        <f t="shared" si="6"/>
        <v>6</v>
      </c>
      <c r="B8" s="34" t="s">
        <v>23</v>
      </c>
      <c r="C8" s="8">
        <f>252.38+7190.58</f>
        <v>7442.96</v>
      </c>
      <c r="D8" s="33">
        <f t="shared" si="0"/>
        <v>7442.96</v>
      </c>
      <c r="E8" s="9">
        <f>495.92+5324.73</f>
        <v>5820.65</v>
      </c>
      <c r="F8" s="33">
        <f t="shared" si="1"/>
        <v>5820.65</v>
      </c>
      <c r="G8" s="18">
        <f t="shared" si="2"/>
        <v>-1622.3100000000004</v>
      </c>
      <c r="H8" s="20">
        <f t="shared" si="3"/>
        <v>-1622.3100000000004</v>
      </c>
      <c r="I8" s="9"/>
      <c r="J8" s="20">
        <f t="shared" si="4"/>
        <v>0</v>
      </c>
      <c r="K8" s="8"/>
      <c r="L8" s="33">
        <f t="shared" si="5"/>
        <v>0</v>
      </c>
    </row>
    <row r="9" spans="1:14">
      <c r="A9" s="1">
        <f t="shared" si="6"/>
        <v>7</v>
      </c>
      <c r="B9" s="34" t="s">
        <v>24</v>
      </c>
      <c r="C9" s="8">
        <f>439.97+9313.97</f>
        <v>9753.9399999999987</v>
      </c>
      <c r="D9" s="33">
        <f t="shared" si="0"/>
        <v>9753.9399999999987</v>
      </c>
      <c r="E9" s="9">
        <f>639.14+6826.17</f>
        <v>7465.31</v>
      </c>
      <c r="F9" s="33">
        <f t="shared" si="1"/>
        <v>7465.31</v>
      </c>
      <c r="G9" s="18">
        <f t="shared" si="2"/>
        <v>-2288.6299999999983</v>
      </c>
      <c r="H9" s="20">
        <f t="shared" si="3"/>
        <v>-2288.6299999999983</v>
      </c>
      <c r="I9" s="9"/>
      <c r="J9" s="20">
        <f t="shared" si="4"/>
        <v>0</v>
      </c>
      <c r="K9" s="8"/>
      <c r="L9" s="33">
        <f t="shared" si="5"/>
        <v>0</v>
      </c>
    </row>
    <row r="10" spans="1:14">
      <c r="A10" s="1">
        <f t="shared" si="6"/>
        <v>8</v>
      </c>
      <c r="B10" s="34" t="s">
        <v>25</v>
      </c>
      <c r="C10" s="8">
        <f>2758.89+80514.48</f>
        <v>83273.37</v>
      </c>
      <c r="D10" s="33">
        <f t="shared" si="0"/>
        <v>83273.37</v>
      </c>
      <c r="E10" s="9">
        <f>6253.22+61473.4</f>
        <v>67726.62</v>
      </c>
      <c r="F10" s="33">
        <f t="shared" si="1"/>
        <v>67726.62</v>
      </c>
      <c r="G10" s="18">
        <f t="shared" si="2"/>
        <v>-15546.75</v>
      </c>
      <c r="H10" s="20">
        <f t="shared" si="3"/>
        <v>-15546.75</v>
      </c>
      <c r="I10" s="9"/>
      <c r="J10" s="20">
        <f t="shared" si="4"/>
        <v>0</v>
      </c>
      <c r="K10" s="8"/>
      <c r="L10" s="33">
        <f t="shared" si="5"/>
        <v>0</v>
      </c>
    </row>
    <row r="11" spans="1:14">
      <c r="A11" s="1">
        <f t="shared" si="6"/>
        <v>9</v>
      </c>
      <c r="B11" s="34" t="s">
        <v>16</v>
      </c>
      <c r="C11" s="8">
        <f>5069.54+43472.15</f>
        <v>48541.69</v>
      </c>
      <c r="D11" s="33">
        <f t="shared" si="0"/>
        <v>48541.69</v>
      </c>
      <c r="E11" s="9">
        <f>4268.32+33588.19</f>
        <v>37856.51</v>
      </c>
      <c r="F11" s="33">
        <f t="shared" si="1"/>
        <v>37856.51</v>
      </c>
      <c r="G11" s="18">
        <f t="shared" si="2"/>
        <v>-10685.18</v>
      </c>
      <c r="H11" s="20">
        <f t="shared" si="3"/>
        <v>-10685.18</v>
      </c>
      <c r="I11" s="9"/>
      <c r="J11" s="20">
        <f t="shared" si="4"/>
        <v>0</v>
      </c>
      <c r="K11" s="8"/>
      <c r="L11" s="33">
        <f t="shared" si="5"/>
        <v>0</v>
      </c>
    </row>
    <row r="12" spans="1:14">
      <c r="A12" s="1">
        <f t="shared" si="6"/>
        <v>10</v>
      </c>
      <c r="B12" s="34" t="s">
        <v>26</v>
      </c>
      <c r="C12" s="8">
        <v>0</v>
      </c>
      <c r="D12" s="33">
        <f t="shared" si="0"/>
        <v>0</v>
      </c>
      <c r="E12" s="9">
        <v>0</v>
      </c>
      <c r="F12" s="33">
        <f t="shared" si="1"/>
        <v>0</v>
      </c>
      <c r="G12" s="18">
        <f t="shared" si="2"/>
        <v>0</v>
      </c>
      <c r="H12" s="20">
        <f t="shared" si="3"/>
        <v>0</v>
      </c>
      <c r="I12" s="9"/>
      <c r="J12" s="20">
        <f t="shared" si="4"/>
        <v>0</v>
      </c>
      <c r="K12" s="8"/>
      <c r="L12" s="33">
        <f t="shared" si="5"/>
        <v>0</v>
      </c>
    </row>
    <row r="13" spans="1:14">
      <c r="A13" s="1">
        <f t="shared" si="6"/>
        <v>11</v>
      </c>
      <c r="B13" s="34" t="s">
        <v>27</v>
      </c>
      <c r="C13" s="8">
        <v>0</v>
      </c>
      <c r="D13" s="33">
        <f t="shared" si="0"/>
        <v>0</v>
      </c>
      <c r="E13" s="9">
        <v>0</v>
      </c>
      <c r="F13" s="33">
        <f t="shared" si="1"/>
        <v>0</v>
      </c>
      <c r="G13" s="18">
        <f t="shared" si="2"/>
        <v>0</v>
      </c>
      <c r="H13" s="20">
        <f t="shared" si="3"/>
        <v>0</v>
      </c>
      <c r="I13" s="9"/>
      <c r="J13" s="20">
        <f t="shared" si="4"/>
        <v>0</v>
      </c>
      <c r="K13" s="8"/>
      <c r="L13" s="33">
        <f t="shared" si="5"/>
        <v>0</v>
      </c>
    </row>
    <row r="14" spans="1:14">
      <c r="A14" s="1">
        <f t="shared" si="6"/>
        <v>12</v>
      </c>
      <c r="B14" s="34" t="s">
        <v>28</v>
      </c>
      <c r="C14" s="8">
        <f>1202.91+31606.19</f>
        <v>32809.1</v>
      </c>
      <c r="D14" s="33">
        <f t="shared" si="0"/>
        <v>32809.1</v>
      </c>
      <c r="E14" s="9">
        <f>2168.88+24103.38</f>
        <v>26272.260000000002</v>
      </c>
      <c r="F14" s="33">
        <f t="shared" si="1"/>
        <v>26272.260000000002</v>
      </c>
      <c r="G14" s="18">
        <f t="shared" si="2"/>
        <v>-6536.8399999999965</v>
      </c>
      <c r="H14" s="20">
        <f t="shared" si="3"/>
        <v>-6536.8399999999965</v>
      </c>
      <c r="I14" s="9"/>
      <c r="J14" s="20">
        <f t="shared" si="4"/>
        <v>0</v>
      </c>
      <c r="K14" s="8"/>
      <c r="L14" s="33">
        <f t="shared" si="5"/>
        <v>0</v>
      </c>
    </row>
    <row r="15" spans="1:14">
      <c r="A15" s="1">
        <f t="shared" si="6"/>
        <v>13</v>
      </c>
      <c r="B15" s="34" t="s">
        <v>17</v>
      </c>
      <c r="C15" s="8">
        <f>13080.18+836.27</f>
        <v>13916.45</v>
      </c>
      <c r="D15" s="33">
        <f t="shared" si="0"/>
        <v>13916.45</v>
      </c>
      <c r="E15" s="9">
        <f>897.59+9422.94</f>
        <v>10320.530000000001</v>
      </c>
      <c r="F15" s="33">
        <f t="shared" si="1"/>
        <v>10320.530000000001</v>
      </c>
      <c r="G15" s="18">
        <f t="shared" si="2"/>
        <v>-3595.92</v>
      </c>
      <c r="H15" s="20">
        <f t="shared" si="3"/>
        <v>-3595.92</v>
      </c>
      <c r="I15" s="9"/>
      <c r="J15" s="20">
        <f t="shared" si="4"/>
        <v>0</v>
      </c>
      <c r="K15" s="8"/>
      <c r="L15" s="33">
        <f t="shared" si="5"/>
        <v>0</v>
      </c>
    </row>
    <row r="16" spans="1:14">
      <c r="A16" s="1">
        <f t="shared" si="6"/>
        <v>14</v>
      </c>
      <c r="B16" s="34" t="s">
        <v>29</v>
      </c>
      <c r="C16" s="8">
        <f>73796.59+8503.85</f>
        <v>82300.44</v>
      </c>
      <c r="D16" s="33">
        <f t="shared" si="0"/>
        <v>82300.44</v>
      </c>
      <c r="E16" s="9">
        <f>7295.83+58355.3</f>
        <v>65651.13</v>
      </c>
      <c r="F16" s="33">
        <f t="shared" si="1"/>
        <v>65651.13</v>
      </c>
      <c r="G16" s="18">
        <f t="shared" si="2"/>
        <v>-16649.309999999998</v>
      </c>
      <c r="H16" s="20">
        <f t="shared" si="3"/>
        <v>-16649.309999999998</v>
      </c>
      <c r="I16" s="9"/>
      <c r="J16" s="20">
        <f t="shared" si="4"/>
        <v>0</v>
      </c>
      <c r="K16" s="8"/>
      <c r="L16" s="33">
        <f t="shared" si="5"/>
        <v>0</v>
      </c>
    </row>
    <row r="17" spans="1:12">
      <c r="A17" s="1">
        <f t="shared" si="6"/>
        <v>15</v>
      </c>
      <c r="B17" s="34" t="s">
        <v>30</v>
      </c>
      <c r="C17" s="8">
        <f>3359.14+90.53</f>
        <v>3449.67</v>
      </c>
      <c r="D17" s="33">
        <f t="shared" si="0"/>
        <v>3449.67</v>
      </c>
      <c r="E17" s="9">
        <f>230.51+2554.97</f>
        <v>2785.4799999999996</v>
      </c>
      <c r="F17" s="33">
        <f t="shared" si="1"/>
        <v>2785.4799999999996</v>
      </c>
      <c r="G17" s="18">
        <f t="shared" si="2"/>
        <v>-664.19000000000051</v>
      </c>
      <c r="H17" s="20">
        <f t="shared" si="3"/>
        <v>-664.19000000000051</v>
      </c>
      <c r="I17" s="9"/>
      <c r="J17" s="20">
        <f t="shared" si="4"/>
        <v>0</v>
      </c>
      <c r="K17" s="8"/>
      <c r="L17" s="33">
        <f t="shared" si="5"/>
        <v>0</v>
      </c>
    </row>
    <row r="18" spans="1:12">
      <c r="A18" s="1">
        <f t="shared" si="6"/>
        <v>16</v>
      </c>
      <c r="B18" s="34" t="s">
        <v>31</v>
      </c>
      <c r="C18" s="8">
        <f>1511.55+-275.71</f>
        <v>1235.8399999999999</v>
      </c>
      <c r="D18" s="33">
        <f t="shared" si="0"/>
        <v>1235.8399999999999</v>
      </c>
      <c r="E18" s="9">
        <f>1065.68+103.59</f>
        <v>1169.27</v>
      </c>
      <c r="F18" s="33">
        <f t="shared" si="1"/>
        <v>1169.27</v>
      </c>
      <c r="G18" s="18">
        <f t="shared" si="2"/>
        <v>-66.569999999999936</v>
      </c>
      <c r="H18" s="20">
        <f t="shared" si="3"/>
        <v>-66.569999999999936</v>
      </c>
      <c r="I18" s="9"/>
      <c r="J18" s="20">
        <f t="shared" si="4"/>
        <v>0</v>
      </c>
      <c r="K18" s="8"/>
      <c r="L18" s="33">
        <f t="shared" si="5"/>
        <v>0</v>
      </c>
    </row>
    <row r="19" spans="1:12">
      <c r="A19" s="1">
        <f t="shared" si="6"/>
        <v>17</v>
      </c>
      <c r="B19" s="34" t="s">
        <v>32</v>
      </c>
      <c r="C19" s="8">
        <f>0</f>
        <v>0</v>
      </c>
      <c r="D19" s="33">
        <f t="shared" si="0"/>
        <v>0</v>
      </c>
      <c r="E19" s="9">
        <v>0</v>
      </c>
      <c r="F19" s="33">
        <f t="shared" si="1"/>
        <v>0</v>
      </c>
      <c r="G19" s="18">
        <f t="shared" si="2"/>
        <v>0</v>
      </c>
      <c r="H19" s="20">
        <f t="shared" si="3"/>
        <v>0</v>
      </c>
      <c r="I19" s="9"/>
      <c r="J19" s="20">
        <f t="shared" si="4"/>
        <v>0</v>
      </c>
      <c r="K19" s="8"/>
      <c r="L19" s="33">
        <f t="shared" si="5"/>
        <v>0</v>
      </c>
    </row>
    <row r="20" spans="1:12">
      <c r="A20" s="1">
        <f t="shared" si="6"/>
        <v>18</v>
      </c>
      <c r="B20" s="34" t="s">
        <v>33</v>
      </c>
      <c r="C20" s="8">
        <v>0</v>
      </c>
      <c r="D20" s="33">
        <f t="shared" si="0"/>
        <v>0</v>
      </c>
      <c r="E20" s="9">
        <v>0</v>
      </c>
      <c r="F20" s="33">
        <f t="shared" si="1"/>
        <v>0</v>
      </c>
      <c r="G20" s="18">
        <f t="shared" si="2"/>
        <v>0</v>
      </c>
      <c r="H20" s="20">
        <f t="shared" si="3"/>
        <v>0</v>
      </c>
      <c r="I20" s="9"/>
      <c r="J20" s="20">
        <f t="shared" si="4"/>
        <v>0</v>
      </c>
      <c r="K20" s="8"/>
      <c r="L20" s="33">
        <f t="shared" si="5"/>
        <v>0</v>
      </c>
    </row>
    <row r="21" spans="1:12">
      <c r="A21" s="1">
        <f t="shared" si="6"/>
        <v>19</v>
      </c>
      <c r="B21" s="34" t="s">
        <v>34</v>
      </c>
      <c r="C21" s="8">
        <f>39902.99+846.09+1950.62</f>
        <v>42699.7</v>
      </c>
      <c r="D21" s="33">
        <f t="shared" si="0"/>
        <v>42699.7</v>
      </c>
      <c r="E21" s="9">
        <f>2694.54+28693.27</f>
        <v>31387.81</v>
      </c>
      <c r="F21" s="33">
        <f t="shared" si="1"/>
        <v>31387.81</v>
      </c>
      <c r="G21" s="18">
        <f t="shared" si="2"/>
        <v>-11311.889999999996</v>
      </c>
      <c r="H21" s="20">
        <f t="shared" si="3"/>
        <v>-11311.889999999996</v>
      </c>
      <c r="I21" s="9"/>
      <c r="J21" s="20">
        <f t="shared" si="4"/>
        <v>0</v>
      </c>
      <c r="K21" s="8"/>
      <c r="L21" s="33">
        <f t="shared" si="5"/>
        <v>0</v>
      </c>
    </row>
    <row r="22" spans="1:12">
      <c r="A22" s="1">
        <f t="shared" si="6"/>
        <v>20</v>
      </c>
      <c r="B22" s="34" t="s">
        <v>37</v>
      </c>
      <c r="C22" s="8">
        <f>3356.07+39.6</f>
        <v>3395.67</v>
      </c>
      <c r="D22" s="33">
        <f t="shared" si="0"/>
        <v>3395.67</v>
      </c>
      <c r="E22" s="9">
        <f>229.39+2370.44</f>
        <v>2599.83</v>
      </c>
      <c r="F22" s="33">
        <f t="shared" si="1"/>
        <v>2599.83</v>
      </c>
      <c r="G22" s="18">
        <f t="shared" si="2"/>
        <v>-795.84000000000015</v>
      </c>
      <c r="H22" s="20">
        <f t="shared" si="3"/>
        <v>-795.84000000000015</v>
      </c>
      <c r="I22" s="9"/>
      <c r="J22" s="20">
        <f t="shared" si="4"/>
        <v>0</v>
      </c>
      <c r="K22" s="8"/>
      <c r="L22" s="33">
        <f t="shared" si="5"/>
        <v>0</v>
      </c>
    </row>
    <row r="23" spans="1:12">
      <c r="A23" s="22"/>
      <c r="B23" s="21" t="s">
        <v>12</v>
      </c>
      <c r="C23" s="18">
        <f t="shared" ref="C23:L23" si="7">SUM(C3:C22)</f>
        <v>783217.84</v>
      </c>
      <c r="D23" s="18">
        <f t="shared" si="7"/>
        <v>783217.84</v>
      </c>
      <c r="E23" s="20">
        <f t="shared" si="7"/>
        <v>562563.19000000006</v>
      </c>
      <c r="F23" s="18">
        <f t="shared" si="7"/>
        <v>562563.19000000006</v>
      </c>
      <c r="G23" s="18">
        <f t="shared" si="7"/>
        <v>-220654.64999999997</v>
      </c>
      <c r="H23" s="20">
        <f t="shared" si="7"/>
        <v>-220654.64999999997</v>
      </c>
      <c r="I23" s="20">
        <f t="shared" si="7"/>
        <v>0</v>
      </c>
      <c r="J23" s="20">
        <f t="shared" si="7"/>
        <v>0</v>
      </c>
      <c r="K23" s="18">
        <f t="shared" si="7"/>
        <v>0</v>
      </c>
      <c r="L23" s="18">
        <f t="shared" si="7"/>
        <v>0</v>
      </c>
    </row>
    <row r="25" spans="1:12">
      <c r="B25" s="62" t="s">
        <v>36</v>
      </c>
      <c r="C25" s="43">
        <f t="shared" ref="C25:H25" si="8">C3+C6+C7+C8+C9+C14+C15+C17</f>
        <v>150082.12000000002</v>
      </c>
      <c r="D25" s="43">
        <f t="shared" si="8"/>
        <v>150082.12000000002</v>
      </c>
      <c r="E25" s="43">
        <f t="shared" si="8"/>
        <v>116860.74999999999</v>
      </c>
      <c r="F25" s="43">
        <f t="shared" si="8"/>
        <v>116860.74999999999</v>
      </c>
      <c r="G25" s="43">
        <f t="shared" si="8"/>
        <v>-33221.369999999995</v>
      </c>
      <c r="H25" s="43">
        <f t="shared" si="8"/>
        <v>-33221.369999999995</v>
      </c>
      <c r="I25" s="72"/>
      <c r="J25" s="72"/>
    </row>
    <row r="26" spans="1:12" s="72" customFormat="1" ht="14.25" customHeight="1"/>
    <row r="27" spans="1:12" hidden="1">
      <c r="B27" s="63"/>
      <c r="C27" s="63"/>
      <c r="D27" s="63"/>
      <c r="E27" s="63"/>
      <c r="F27" s="63"/>
      <c r="G27" s="63"/>
      <c r="H27" s="63"/>
      <c r="I27" s="63"/>
      <c r="J27" s="63"/>
    </row>
    <row r="28" spans="1:12">
      <c r="B28" s="42" t="s">
        <v>38</v>
      </c>
      <c r="C28" s="43">
        <f>C11+C12+C13+C16+C18+C19</f>
        <v>132077.97</v>
      </c>
      <c r="D28" s="43">
        <f t="shared" ref="D28:J28" si="9">D11+D12+D13+D16+D18+D19</f>
        <v>132077.97</v>
      </c>
      <c r="E28" s="43">
        <f t="shared" si="9"/>
        <v>104676.91000000002</v>
      </c>
      <c r="F28" s="43">
        <f t="shared" si="9"/>
        <v>104676.91000000002</v>
      </c>
      <c r="G28" s="43">
        <f t="shared" si="9"/>
        <v>-27401.059999999998</v>
      </c>
      <c r="H28" s="43">
        <f t="shared" si="9"/>
        <v>-27401.059999999998</v>
      </c>
      <c r="I28" s="43">
        <f t="shared" si="9"/>
        <v>0</v>
      </c>
      <c r="J28" s="43">
        <f t="shared" si="9"/>
        <v>0</v>
      </c>
    </row>
    <row r="29" spans="1:12">
      <c r="B29" s="42" t="s">
        <v>39</v>
      </c>
      <c r="C29" s="43">
        <f>C10+C21</f>
        <v>125973.06999999999</v>
      </c>
      <c r="D29" s="43">
        <f t="shared" ref="D29:J29" si="10">D10+D21</f>
        <v>125973.06999999999</v>
      </c>
      <c r="E29" s="43">
        <f t="shared" si="10"/>
        <v>99114.43</v>
      </c>
      <c r="F29" s="43">
        <f t="shared" si="10"/>
        <v>99114.43</v>
      </c>
      <c r="G29" s="43">
        <f t="shared" si="10"/>
        <v>-26858.639999999996</v>
      </c>
      <c r="H29" s="43">
        <f t="shared" si="10"/>
        <v>-26858.639999999996</v>
      </c>
      <c r="I29" s="43">
        <f t="shared" si="10"/>
        <v>0</v>
      </c>
      <c r="J29" s="43">
        <f t="shared" si="10"/>
        <v>0</v>
      </c>
    </row>
    <row r="30" spans="1:12">
      <c r="B30" s="42" t="s">
        <v>40</v>
      </c>
      <c r="C30" s="43">
        <f>C4+C5+C20+C22</f>
        <v>375084.68</v>
      </c>
      <c r="D30" s="43">
        <f t="shared" ref="D30:J30" si="11">D4+D5+D20+D22</f>
        <v>375084.68</v>
      </c>
      <c r="E30" s="43">
        <f t="shared" si="11"/>
        <v>241911.1</v>
      </c>
      <c r="F30" s="43">
        <f t="shared" si="11"/>
        <v>241911.1</v>
      </c>
      <c r="G30" s="43">
        <f t="shared" si="11"/>
        <v>-133173.57999999999</v>
      </c>
      <c r="H30" s="43">
        <f t="shared" si="11"/>
        <v>-133173.57999999999</v>
      </c>
      <c r="I30" s="43">
        <f t="shared" si="11"/>
        <v>0</v>
      </c>
      <c r="J30" s="43">
        <f t="shared" si="11"/>
        <v>0</v>
      </c>
    </row>
    <row r="33" spans="3:5">
      <c r="C33" s="25"/>
      <c r="E33" s="25"/>
    </row>
    <row r="35" spans="3:5">
      <c r="C35">
        <f>56794.47+726423.37</f>
        <v>783217.84</v>
      </c>
      <c r="E35">
        <f>54085.64+508477.55</f>
        <v>562563.18999999994</v>
      </c>
    </row>
  </sheetData>
  <phoneticPr fontId="0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B1" sqref="B1:C1"/>
    </sheetView>
  </sheetViews>
  <sheetFormatPr defaultRowHeight="12.75"/>
  <cols>
    <col min="1" max="1" width="4.140625" customWidth="1"/>
    <col min="2" max="2" width="32.5703125" style="36" customWidth="1"/>
    <col min="3" max="3" width="11.28515625" customWidth="1"/>
    <col min="4" max="4" width="13.7109375" customWidth="1"/>
    <col min="5" max="5" width="13.5703125" customWidth="1"/>
    <col min="6" max="6" width="11.42578125" customWidth="1"/>
    <col min="7" max="7" width="10.7109375" customWidth="1"/>
    <col min="8" max="8" width="13.42578125" customWidth="1"/>
    <col min="9" max="9" width="10.140625" bestFit="1" customWidth="1"/>
    <col min="10" max="10" width="11.85546875" customWidth="1"/>
    <col min="11" max="11" width="9.28515625" bestFit="1" customWidth="1"/>
    <col min="12" max="12" width="11.140625" customWidth="1"/>
    <col min="13" max="13" width="10.7109375" bestFit="1" customWidth="1"/>
  </cols>
  <sheetData>
    <row r="1" spans="1:13">
      <c r="B1" s="11" t="s">
        <v>51</v>
      </c>
      <c r="C1" s="11"/>
      <c r="D1" s="11"/>
    </row>
    <row r="2" spans="1:13" s="32" customFormat="1" ht="25.5">
      <c r="A2" s="31" t="s">
        <v>0</v>
      </c>
      <c r="B2" s="37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 ht="14.1" customHeight="1">
      <c r="A3" s="1">
        <v>1</v>
      </c>
      <c r="B3" s="34" t="str">
        <f>сентябрь!B3</f>
        <v>Содержание общ.имущ.дома</v>
      </c>
      <c r="C3" s="8">
        <f>10109.05+63152.89</f>
        <v>73261.94</v>
      </c>
      <c r="D3" s="18">
        <f>C3+сентябрь!D3</f>
        <v>698804.03</v>
      </c>
      <c r="E3" s="8">
        <f>5769.65+57496.39</f>
        <v>63266.04</v>
      </c>
      <c r="F3" s="18">
        <f>E3+сентябрь!F3</f>
        <v>670534.61</v>
      </c>
      <c r="G3" s="18">
        <f>E3-C3</f>
        <v>-9995.9000000000015</v>
      </c>
      <c r="H3" s="20">
        <f>F3-D3</f>
        <v>-28269.420000000042</v>
      </c>
      <c r="I3" s="9"/>
      <c r="J3" s="20">
        <f>I3+сентябрь!J3</f>
        <v>0</v>
      </c>
      <c r="K3" s="8"/>
      <c r="L3" s="18">
        <f>K3+сентябрь!L3</f>
        <v>0</v>
      </c>
    </row>
    <row r="4" spans="1:13" ht="14.1" customHeight="1">
      <c r="A4" s="1">
        <f>A3+1</f>
        <v>2</v>
      </c>
      <c r="B4" s="34" t="str">
        <f>сентябрь!B4</f>
        <v>Отопление</v>
      </c>
      <c r="C4" s="8">
        <f>30478.06+191013.17</f>
        <v>221491.23</v>
      </c>
      <c r="D4" s="18">
        <f>C4+сентябрь!D4</f>
        <v>1318290.49</v>
      </c>
      <c r="E4" s="8">
        <f>4416.5+7075.25</f>
        <v>11491.75</v>
      </c>
      <c r="F4" s="18">
        <f>E4+сентябрь!F4</f>
        <v>1352081.69</v>
      </c>
      <c r="G4" s="18">
        <f t="shared" ref="G4:H22" si="0">E4-C4</f>
        <v>-209999.48</v>
      </c>
      <c r="H4" s="20">
        <f t="shared" si="0"/>
        <v>33791.199999999953</v>
      </c>
      <c r="I4" s="9"/>
      <c r="J4" s="20">
        <f>I4+сентябрь!J4</f>
        <v>0</v>
      </c>
      <c r="K4" s="8"/>
      <c r="L4" s="18">
        <f>K4+сентябрь!L4</f>
        <v>0</v>
      </c>
      <c r="M4" s="25">
        <f>L4-J4</f>
        <v>0</v>
      </c>
    </row>
    <row r="5" spans="1:13" ht="14.1" customHeight="1">
      <c r="A5" s="1">
        <f t="shared" ref="A5:A22" si="1">A4+1</f>
        <v>3</v>
      </c>
      <c r="B5" s="34" t="str">
        <f>сентябрь!B5</f>
        <v>Горячее водоснабжение</v>
      </c>
      <c r="C5" s="8">
        <f>24788.04+121409.46</f>
        <v>146197.5</v>
      </c>
      <c r="D5" s="18">
        <f>C5+сентябрь!D5</f>
        <v>1422374.36</v>
      </c>
      <c r="E5" s="8">
        <f>15064.72+105384.6</f>
        <v>120449.32</v>
      </c>
      <c r="F5" s="18">
        <f>E5+сентябрь!F5</f>
        <v>1268049.56</v>
      </c>
      <c r="G5" s="18">
        <f t="shared" si="0"/>
        <v>-25748.179999999993</v>
      </c>
      <c r="H5" s="20">
        <f t="shared" si="0"/>
        <v>-154324.80000000005</v>
      </c>
      <c r="I5" s="9"/>
      <c r="J5" s="20">
        <f>I5+сентябрь!J5</f>
        <v>0</v>
      </c>
      <c r="K5" s="8"/>
      <c r="L5" s="18">
        <f>K5+сентябрь!L5</f>
        <v>0</v>
      </c>
    </row>
    <row r="6" spans="1:13" ht="14.1" customHeight="1">
      <c r="A6" s="1">
        <f t="shared" si="1"/>
        <v>4</v>
      </c>
      <c r="B6" s="34" t="str">
        <f>сентябрь!B6</f>
        <v>Сод.и ремонт АППЗ</v>
      </c>
      <c r="C6" s="8">
        <f>357.25+2239.05</f>
        <v>2596.3000000000002</v>
      </c>
      <c r="D6" s="18">
        <f>C6+сентябрь!D6</f>
        <v>25323.97</v>
      </c>
      <c r="E6" s="8">
        <f>242.85+2043.47</f>
        <v>2286.3200000000002</v>
      </c>
      <c r="F6" s="18">
        <f>E6+сентябрь!F6</f>
        <v>24891.5</v>
      </c>
      <c r="G6" s="18">
        <f t="shared" si="0"/>
        <v>-309.98</v>
      </c>
      <c r="H6" s="20">
        <f t="shared" si="0"/>
        <v>-432.47000000000116</v>
      </c>
      <c r="I6" s="9"/>
      <c r="J6" s="20">
        <f>I6+сентябрь!J6</f>
        <v>0</v>
      </c>
      <c r="K6" s="8"/>
      <c r="L6" s="18">
        <f>K6+сентябрь!L6</f>
        <v>0</v>
      </c>
    </row>
    <row r="7" spans="1:13" ht="14.1" customHeight="1">
      <c r="A7" s="1">
        <f t="shared" si="1"/>
        <v>5</v>
      </c>
      <c r="B7" s="34" t="str">
        <f>сентябрь!B7</f>
        <v>Сод.и ремонт лифтов</v>
      </c>
      <c r="C7" s="8">
        <f>1794.44+11246.28</f>
        <v>13040.720000000001</v>
      </c>
      <c r="D7" s="18">
        <f>C7+сентябрь!D7</f>
        <v>145633.67999999996</v>
      </c>
      <c r="E7" s="8">
        <f>1341.36+10143.9</f>
        <v>11485.26</v>
      </c>
      <c r="F7" s="18">
        <f>E7+сентябрь!F7</f>
        <v>149221.41000000003</v>
      </c>
      <c r="G7" s="18">
        <f t="shared" si="0"/>
        <v>-1555.4600000000009</v>
      </c>
      <c r="H7" s="20">
        <f t="shared" si="0"/>
        <v>3587.7300000000687</v>
      </c>
      <c r="I7" s="9"/>
      <c r="J7" s="20">
        <f>I7+сентябрь!J7</f>
        <v>0</v>
      </c>
      <c r="K7" s="8"/>
      <c r="L7" s="18">
        <f>K7+сентябрь!L7</f>
        <v>0</v>
      </c>
    </row>
    <row r="8" spans="1:13" ht="14.1" customHeight="1">
      <c r="A8" s="1">
        <f t="shared" si="1"/>
        <v>6</v>
      </c>
      <c r="B8" s="34" t="str">
        <f>сентябрь!B8</f>
        <v>Очистка мусоропроводов</v>
      </c>
      <c r="C8" s="8">
        <f>1291.04+8050.12</f>
        <v>9341.16</v>
      </c>
      <c r="D8" s="18">
        <f>C8+сентябрь!D8</f>
        <v>85641.489999999991</v>
      </c>
      <c r="E8" s="8">
        <f>864.8+7166.41</f>
        <v>8031.21</v>
      </c>
      <c r="F8" s="18">
        <f>E8+сентябрь!F8</f>
        <v>82271.190000000017</v>
      </c>
      <c r="G8" s="18">
        <f t="shared" si="0"/>
        <v>-1309.9499999999998</v>
      </c>
      <c r="H8" s="20">
        <f t="shared" si="0"/>
        <v>-3370.2999999999738</v>
      </c>
      <c r="I8" s="9"/>
      <c r="J8" s="20">
        <f>I8+сентябрь!J8</f>
        <v>0</v>
      </c>
      <c r="K8" s="8"/>
      <c r="L8" s="18">
        <f>K8+сентябрь!L8</f>
        <v>0</v>
      </c>
      <c r="M8" s="25"/>
    </row>
    <row r="9" spans="1:13" ht="14.1" customHeight="1">
      <c r="A9" s="1">
        <f t="shared" si="1"/>
        <v>7</v>
      </c>
      <c r="B9" s="34" t="str">
        <f>сентябрь!B9</f>
        <v>Уборка и сан.очистка зем.уч.</v>
      </c>
      <c r="C9" s="8">
        <f>1526.51+9566.96</f>
        <v>11093.47</v>
      </c>
      <c r="D9" s="18">
        <f>C9+сентябрь!D9</f>
        <v>107038.75</v>
      </c>
      <c r="E9" s="8">
        <f>865.14+8719.31</f>
        <v>9584.4499999999989</v>
      </c>
      <c r="F9" s="18">
        <f>E9+сентябрь!F9</f>
        <v>102133.32999999999</v>
      </c>
      <c r="G9" s="18">
        <f t="shared" si="0"/>
        <v>-1509.0200000000004</v>
      </c>
      <c r="H9" s="20">
        <f t="shared" si="0"/>
        <v>-4905.4200000000128</v>
      </c>
      <c r="I9" s="9"/>
      <c r="J9" s="20">
        <f>I9+сентябрь!J9</f>
        <v>0</v>
      </c>
      <c r="K9" s="8"/>
      <c r="L9" s="18">
        <f>K9+сентябрь!L9</f>
        <v>0</v>
      </c>
      <c r="M9" s="25"/>
    </row>
    <row r="10" spans="1:13" ht="14.1" customHeight="1">
      <c r="A10" s="1">
        <f t="shared" si="1"/>
        <v>8</v>
      </c>
      <c r="B10" s="34" t="str">
        <f>сентябрь!B10</f>
        <v>Электроснабжение(инд.потр)</v>
      </c>
      <c r="C10" s="8">
        <f>15062+90480.8</f>
        <v>105542.8</v>
      </c>
      <c r="D10" s="18">
        <f>C10+сентябрь!D10</f>
        <v>993579.33</v>
      </c>
      <c r="E10" s="8">
        <f>8715.15+81429.97</f>
        <v>90145.12</v>
      </c>
      <c r="F10" s="18">
        <f>E10+сентябрь!F10</f>
        <v>917125.22000000009</v>
      </c>
      <c r="G10" s="18">
        <f t="shared" si="0"/>
        <v>-15397.680000000008</v>
      </c>
      <c r="H10" s="20">
        <f t="shared" si="0"/>
        <v>-76454.10999999987</v>
      </c>
      <c r="I10" s="9"/>
      <c r="J10" s="20">
        <f>I10+сентябрь!J10</f>
        <v>0</v>
      </c>
      <c r="K10" s="8"/>
      <c r="L10" s="18">
        <f>K10+сентябрь!L10</f>
        <v>0</v>
      </c>
      <c r="M10" s="25"/>
    </row>
    <row r="11" spans="1:13" ht="14.1" customHeight="1">
      <c r="A11" s="1">
        <f t="shared" si="1"/>
        <v>9</v>
      </c>
      <c r="B11" s="34" t="str">
        <f>сентябрь!B11</f>
        <v>Холодная вода</v>
      </c>
      <c r="C11" s="8">
        <f>10025.93+49248.06</f>
        <v>59273.99</v>
      </c>
      <c r="D11" s="18">
        <f>C11+сентябрь!D11</f>
        <v>567377.55999999994</v>
      </c>
      <c r="E11" s="8">
        <f>6810.64+43626.32</f>
        <v>50436.959999999999</v>
      </c>
      <c r="F11" s="18">
        <f>E11+сентябрь!F11</f>
        <v>508811.15</v>
      </c>
      <c r="G11" s="18">
        <f t="shared" si="0"/>
        <v>-8837.0299999999988</v>
      </c>
      <c r="H11" s="20">
        <f t="shared" si="0"/>
        <v>-58566.409999999916</v>
      </c>
      <c r="I11" s="9"/>
      <c r="J11" s="20">
        <f>I11+сентябрь!J11</f>
        <v>0</v>
      </c>
      <c r="K11" s="8"/>
      <c r="L11" s="18">
        <f>K11+сентябрь!L11</f>
        <v>0</v>
      </c>
      <c r="M11" s="25"/>
    </row>
    <row r="12" spans="1:13" ht="14.1" customHeight="1">
      <c r="A12" s="1">
        <f t="shared" si="1"/>
        <v>10</v>
      </c>
      <c r="B12" s="34" t="str">
        <f>сентябрь!B12</f>
        <v>Канализирование х.воды</v>
      </c>
      <c r="C12" s="8">
        <v>0</v>
      </c>
      <c r="D12" s="18">
        <f>C12+сентябрь!D12</f>
        <v>-2210.14</v>
      </c>
      <c r="E12" s="8">
        <v>163</v>
      </c>
      <c r="F12" s="18">
        <f>E12+сентябрь!F12</f>
        <v>1205.52</v>
      </c>
      <c r="G12" s="18">
        <f t="shared" si="0"/>
        <v>163</v>
      </c>
      <c r="H12" s="20">
        <f t="shared" si="0"/>
        <v>3415.66</v>
      </c>
      <c r="I12" s="9"/>
      <c r="J12" s="20">
        <f>I12+сентябрь!J12</f>
        <v>0</v>
      </c>
      <c r="K12" s="8"/>
      <c r="L12" s="18">
        <f>K12+сентябрь!L12</f>
        <v>0</v>
      </c>
      <c r="M12" s="25"/>
    </row>
    <row r="13" spans="1:13" ht="14.1" customHeight="1">
      <c r="A13" s="1">
        <f t="shared" si="1"/>
        <v>11</v>
      </c>
      <c r="B13" s="34" t="str">
        <f>сентябрь!B13</f>
        <v>Канализирование г.воды</v>
      </c>
      <c r="C13" s="8">
        <v>0</v>
      </c>
      <c r="D13" s="18">
        <f>C13+сентябрь!D13</f>
        <v>-1504.92</v>
      </c>
      <c r="E13" s="8">
        <v>-180.34</v>
      </c>
      <c r="F13" s="18">
        <f>E13+сентябрь!F13</f>
        <v>339.33000000000004</v>
      </c>
      <c r="G13" s="18">
        <f t="shared" si="0"/>
        <v>-180.34</v>
      </c>
      <c r="H13" s="20">
        <f t="shared" si="0"/>
        <v>1844.25</v>
      </c>
      <c r="I13" s="9"/>
      <c r="J13" s="20">
        <f>I13+сентябрь!J13</f>
        <v>0</v>
      </c>
      <c r="K13" s="8"/>
      <c r="L13" s="18">
        <f>K13+сентябрь!L13</f>
        <v>0</v>
      </c>
      <c r="M13" s="25"/>
    </row>
    <row r="14" spans="1:13" ht="14.1" customHeight="1">
      <c r="A14" s="1">
        <f t="shared" si="1"/>
        <v>12</v>
      </c>
      <c r="B14" s="34" t="str">
        <f>сентябрь!B14</f>
        <v>Тек.ремонт общ.имущ.дома</v>
      </c>
      <c r="C14" s="8">
        <f>5042.32+31601.48</f>
        <v>36643.800000000003</v>
      </c>
      <c r="D14" s="18">
        <f>C14+сентябрь!D14</f>
        <v>358263.71999999991</v>
      </c>
      <c r="E14" s="8">
        <f>2812.67+28841.19</f>
        <v>31653.86</v>
      </c>
      <c r="F14" s="18">
        <f>E14+сентябрь!F14</f>
        <v>352022.75999999995</v>
      </c>
      <c r="G14" s="18">
        <f t="shared" si="0"/>
        <v>-4989.9400000000023</v>
      </c>
      <c r="H14" s="20">
        <f t="shared" si="0"/>
        <v>-6240.9599999999627</v>
      </c>
      <c r="I14" s="9"/>
      <c r="J14" s="20">
        <f>I14+сентябрь!J14</f>
        <v>0</v>
      </c>
      <c r="K14" s="8"/>
      <c r="L14" s="18">
        <f>K14+сентябрь!L14</f>
        <v>0</v>
      </c>
      <c r="M14" s="25"/>
    </row>
    <row r="15" spans="1:13" ht="14.1" customHeight="1">
      <c r="A15" s="1">
        <f t="shared" si="1"/>
        <v>13</v>
      </c>
      <c r="B15" s="34" t="str">
        <f>сентябрь!B15</f>
        <v>Управление многокварт.домом</v>
      </c>
      <c r="C15" s="8">
        <f>2435.91+15266.4</f>
        <v>17702.309999999998</v>
      </c>
      <c r="D15" s="18">
        <f>C15+сентябрь!D15</f>
        <v>159659.82</v>
      </c>
      <c r="E15" s="8">
        <f>1505.58+13829.22</f>
        <v>15334.8</v>
      </c>
      <c r="F15" s="18">
        <f>E15+сентябрь!F15</f>
        <v>146845.9</v>
      </c>
      <c r="G15" s="18">
        <f t="shared" si="0"/>
        <v>-2367.5099999999984</v>
      </c>
      <c r="H15" s="20">
        <f t="shared" si="0"/>
        <v>-12813.920000000013</v>
      </c>
      <c r="I15" s="9"/>
      <c r="J15" s="20">
        <f>I15+сентябрь!J15</f>
        <v>0</v>
      </c>
      <c r="K15" s="8"/>
      <c r="L15" s="18">
        <f>K15+сентябрь!L15</f>
        <v>0</v>
      </c>
      <c r="M15" s="25"/>
    </row>
    <row r="16" spans="1:13" ht="14.1" customHeight="1">
      <c r="A16" s="1">
        <f t="shared" si="1"/>
        <v>14</v>
      </c>
      <c r="B16" s="34" t="str">
        <f>сентябрь!B16</f>
        <v>Водоотведение (кв)</v>
      </c>
      <c r="C16" s="8">
        <f>17146.43+84123.51</f>
        <v>101269.94</v>
      </c>
      <c r="D16" s="18">
        <f>C16+сентябрь!D16</f>
        <v>970743.21</v>
      </c>
      <c r="E16" s="8">
        <f>11430.19+74195.3</f>
        <v>85625.49</v>
      </c>
      <c r="F16" s="18">
        <f>E16+сентябрь!F16</f>
        <v>870431.07</v>
      </c>
      <c r="G16" s="18">
        <f t="shared" si="0"/>
        <v>-15644.449999999997</v>
      </c>
      <c r="H16" s="20">
        <f t="shared" si="0"/>
        <v>-100312.14000000001</v>
      </c>
      <c r="I16" s="9"/>
      <c r="J16" s="20">
        <f>I16+сентябрь!J16</f>
        <v>0</v>
      </c>
      <c r="K16" s="8"/>
      <c r="L16" s="18">
        <f>K16+сентябрь!L16</f>
        <v>0</v>
      </c>
      <c r="M16" s="25"/>
    </row>
    <row r="17" spans="1:13" ht="14.1" customHeight="1">
      <c r="A17" s="1">
        <f t="shared" si="1"/>
        <v>15</v>
      </c>
      <c r="B17" s="34" t="str">
        <f>сентябрь!B17</f>
        <v>Эксплуатация общедомовых ПУ</v>
      </c>
      <c r="C17" s="8">
        <f>535.91+3358.66</f>
        <v>3894.5699999999997</v>
      </c>
      <c r="D17" s="18">
        <f>C17+сентябрь!D17</f>
        <v>37906.11</v>
      </c>
      <c r="E17" s="8">
        <f>248.27+3065.29</f>
        <v>3313.56</v>
      </c>
      <c r="F17" s="18">
        <f>E17+сентябрь!F17</f>
        <v>37436.209999999992</v>
      </c>
      <c r="G17" s="18">
        <f t="shared" si="0"/>
        <v>-581.00999999999976</v>
      </c>
      <c r="H17" s="20">
        <f t="shared" si="0"/>
        <v>-469.90000000000873</v>
      </c>
      <c r="I17" s="9"/>
      <c r="J17" s="20">
        <f>I17+сентябрь!J17</f>
        <v>0</v>
      </c>
      <c r="K17" s="8"/>
      <c r="L17" s="18">
        <f>K17+сентябрь!L17</f>
        <v>0</v>
      </c>
      <c r="M17" s="25"/>
    </row>
    <row r="18" spans="1:13" ht="14.1" customHeight="1">
      <c r="A18" s="1">
        <f t="shared" si="1"/>
        <v>16</v>
      </c>
      <c r="B18" s="34" t="str">
        <f>сентябрь!B18</f>
        <v>Хол.водоснабжение(о/д нужды)</v>
      </c>
      <c r="C18" s="8">
        <f>258.83+1623.93</f>
        <v>1882.76</v>
      </c>
      <c r="D18" s="18">
        <f>C18+сентябрь!D18</f>
        <v>17376.52</v>
      </c>
      <c r="E18" s="8">
        <f>272.23+1480.19</f>
        <v>1752.42</v>
      </c>
      <c r="F18" s="18">
        <f>E18+сентябрь!F18</f>
        <v>21830.769999999997</v>
      </c>
      <c r="G18" s="18">
        <f t="shared" si="0"/>
        <v>-130.33999999999992</v>
      </c>
      <c r="H18" s="20">
        <f t="shared" si="0"/>
        <v>4454.2499999999964</v>
      </c>
      <c r="I18" s="9"/>
      <c r="J18" s="20">
        <f>I18+сентябрь!J18</f>
        <v>0</v>
      </c>
      <c r="K18" s="8"/>
      <c r="L18" s="18">
        <f>K18+сентябрь!L18</f>
        <v>0</v>
      </c>
      <c r="M18" s="25"/>
    </row>
    <row r="19" spans="1:13" ht="14.1" customHeight="1">
      <c r="A19" s="1">
        <f t="shared" si="1"/>
        <v>17</v>
      </c>
      <c r="B19" s="34" t="str">
        <f>сентябрь!B19</f>
        <v>Водоотведение(о/д нужды)</v>
      </c>
      <c r="C19" s="8">
        <v>0</v>
      </c>
      <c r="D19" s="18">
        <f>C19+сентябрь!D19</f>
        <v>-190.85</v>
      </c>
      <c r="E19" s="8">
        <v>0</v>
      </c>
      <c r="F19" s="18">
        <f>E19+сентябрь!F19</f>
        <v>223.08</v>
      </c>
      <c r="G19" s="18">
        <f t="shared" si="0"/>
        <v>0</v>
      </c>
      <c r="H19" s="20">
        <f t="shared" si="0"/>
        <v>413.93</v>
      </c>
      <c r="I19" s="9"/>
      <c r="J19" s="20">
        <f>I19+сентябрь!J19</f>
        <v>0</v>
      </c>
      <c r="K19" s="8"/>
      <c r="L19" s="18">
        <f>K19+сентябрь!L19</f>
        <v>0</v>
      </c>
      <c r="M19" s="25"/>
    </row>
    <row r="20" spans="1:13" ht="14.1" customHeight="1">
      <c r="A20" s="1">
        <f t="shared" si="1"/>
        <v>18</v>
      </c>
      <c r="B20" s="34" t="str">
        <f>сентябрь!B20</f>
        <v>Отопление (о/д нужды)</v>
      </c>
      <c r="C20" s="8">
        <v>0</v>
      </c>
      <c r="D20" s="18">
        <f>C20+сентябрь!D20</f>
        <v>-848.48</v>
      </c>
      <c r="E20" s="8">
        <v>0</v>
      </c>
      <c r="F20" s="18">
        <f>E20+сентябрь!F20</f>
        <v>786.61</v>
      </c>
      <c r="G20" s="18">
        <f t="shared" si="0"/>
        <v>0</v>
      </c>
      <c r="H20" s="20">
        <f t="shared" si="0"/>
        <v>1635.0900000000001</v>
      </c>
      <c r="I20" s="9"/>
      <c r="J20" s="20">
        <f>I20+сентябрь!J20</f>
        <v>0</v>
      </c>
      <c r="K20" s="8"/>
      <c r="L20" s="18">
        <f>K20+сентябрь!L20</f>
        <v>0</v>
      </c>
      <c r="M20" s="25"/>
    </row>
    <row r="21" spans="1:13" ht="14.1" customHeight="1">
      <c r="A21" s="1">
        <f t="shared" si="1"/>
        <v>19</v>
      </c>
      <c r="B21" s="34" t="str">
        <f>сентябрь!B21</f>
        <v>Электроснабжение(оющед.нужд)</v>
      </c>
      <c r="C21" s="8">
        <f>1151.99+7218.69+2303.89</f>
        <v>10674.57</v>
      </c>
      <c r="D21" s="18">
        <f>C21+сентябрь!D21</f>
        <v>266309.09000000003</v>
      </c>
      <c r="E21" s="8">
        <f>1348.79+2628.05+1639.59</f>
        <v>5616.43</v>
      </c>
      <c r="F21" s="18">
        <f>E21+сентябрь!F21</f>
        <v>335481.05</v>
      </c>
      <c r="G21" s="18">
        <f t="shared" si="0"/>
        <v>-5058.1399999999994</v>
      </c>
      <c r="H21" s="20">
        <f t="shared" si="0"/>
        <v>69171.959999999963</v>
      </c>
      <c r="I21" s="9"/>
      <c r="J21" s="20">
        <f>I21+сентябрь!J21</f>
        <v>0</v>
      </c>
      <c r="K21" s="8"/>
      <c r="L21" s="18">
        <f>K21+сентябрь!L21</f>
        <v>0</v>
      </c>
      <c r="M21" s="25"/>
    </row>
    <row r="22" spans="1:13" ht="14.1" customHeight="1">
      <c r="A22" s="1">
        <f t="shared" si="1"/>
        <v>20</v>
      </c>
      <c r="B22" s="34" t="str">
        <f>сентябрь!B22</f>
        <v>Горячее водоснабжение(о/д нужды)</v>
      </c>
      <c r="C22" s="8">
        <f>553.13+3487.37</f>
        <v>4040.5</v>
      </c>
      <c r="D22" s="18">
        <f>C22+сентябрь!D22</f>
        <v>48257.610000000008</v>
      </c>
      <c r="E22" s="9">
        <f>335.5+3171.11</f>
        <v>3506.61</v>
      </c>
      <c r="F22" s="18">
        <f>E22+сентябрь!F22</f>
        <v>55246.049999999996</v>
      </c>
      <c r="G22" s="18">
        <f t="shared" si="0"/>
        <v>-533.88999999999987</v>
      </c>
      <c r="H22" s="20">
        <f t="shared" si="0"/>
        <v>6988.4399999999878</v>
      </c>
      <c r="I22" s="9"/>
      <c r="J22" s="20">
        <f>I22+сентябрь!J22</f>
        <v>0</v>
      </c>
      <c r="K22" s="8"/>
      <c r="L22" s="18">
        <f>K22+сентябрь!L22</f>
        <v>0</v>
      </c>
      <c r="M22" s="25"/>
    </row>
    <row r="23" spans="1:13" ht="14.1" customHeight="1">
      <c r="A23" s="22"/>
      <c r="B23" s="38" t="s">
        <v>12</v>
      </c>
      <c r="C23" s="18">
        <f t="shared" ref="C23:L23" si="2">SUM(C3:C22)</f>
        <v>817947.55999999982</v>
      </c>
      <c r="D23" s="18">
        <f t="shared" si="2"/>
        <v>7217825.3500000006</v>
      </c>
      <c r="E23" s="20">
        <f t="shared" si="2"/>
        <v>513962.25999999995</v>
      </c>
      <c r="F23" s="18">
        <f t="shared" si="2"/>
        <v>6896968.0099999998</v>
      </c>
      <c r="G23" s="18">
        <f t="shared" si="2"/>
        <v>-303985.30000000016</v>
      </c>
      <c r="H23" s="20">
        <f t="shared" si="2"/>
        <v>-320857.33999999991</v>
      </c>
      <c r="I23" s="20">
        <f t="shared" si="2"/>
        <v>0</v>
      </c>
      <c r="J23" s="20">
        <f t="shared" si="2"/>
        <v>0</v>
      </c>
      <c r="K23" s="18">
        <f t="shared" si="2"/>
        <v>0</v>
      </c>
      <c r="L23" s="18">
        <f t="shared" si="2"/>
        <v>0</v>
      </c>
    </row>
    <row r="24" spans="1:13" ht="15.75" customHeight="1"/>
    <row r="25" spans="1:13" ht="15.75" customHeight="1">
      <c r="B25" s="41" t="s">
        <v>36</v>
      </c>
      <c r="C25" s="9">
        <f t="shared" ref="C25:H25" si="3">C3+C6+C7+C8+C9+C14+C15+C17</f>
        <v>167574.27000000002</v>
      </c>
      <c r="D25" s="9">
        <f t="shared" si="3"/>
        <v>1618271.57</v>
      </c>
      <c r="E25" s="9">
        <f t="shared" si="3"/>
        <v>144955.5</v>
      </c>
      <c r="F25" s="9">
        <f t="shared" si="3"/>
        <v>1565356.91</v>
      </c>
      <c r="G25" s="9">
        <f t="shared" si="3"/>
        <v>-22618.77</v>
      </c>
      <c r="H25" s="9">
        <f t="shared" si="3"/>
        <v>-52914.659999999945</v>
      </c>
    </row>
    <row r="26" spans="1:13" ht="15.75" customHeight="1"/>
    <row r="27" spans="1:13" ht="15.75" customHeight="1"/>
    <row r="28" spans="1:13" ht="15.75" customHeight="1">
      <c r="B28" s="1" t="s">
        <v>38</v>
      </c>
      <c r="C28" s="9">
        <f>C11+C12+C13+C16+C18+C19</f>
        <v>162426.69</v>
      </c>
      <c r="D28" s="9">
        <f t="shared" ref="D28:J28" si="4">D11+D12+D13+D16+D18+D19</f>
        <v>1551591.38</v>
      </c>
      <c r="E28" s="9">
        <f t="shared" si="4"/>
        <v>137797.53000000003</v>
      </c>
      <c r="F28" s="9">
        <f t="shared" si="4"/>
        <v>1402840.9200000002</v>
      </c>
      <c r="G28" s="9">
        <f t="shared" si="4"/>
        <v>-24629.159999999996</v>
      </c>
      <c r="H28" s="9">
        <f t="shared" si="4"/>
        <v>-148750.45999999993</v>
      </c>
      <c r="I28" s="9">
        <f t="shared" si="4"/>
        <v>0</v>
      </c>
      <c r="J28" s="9">
        <f t="shared" si="4"/>
        <v>0</v>
      </c>
    </row>
    <row r="29" spans="1:13">
      <c r="B29" s="1" t="s">
        <v>39</v>
      </c>
      <c r="C29" s="9">
        <f>C10+C21</f>
        <v>116217.37</v>
      </c>
      <c r="D29" s="9">
        <f t="shared" ref="D29:J29" si="5">D10+D21</f>
        <v>1259888.42</v>
      </c>
      <c r="E29" s="9">
        <f t="shared" si="5"/>
        <v>95761.549999999988</v>
      </c>
      <c r="F29" s="9">
        <f t="shared" si="5"/>
        <v>1252606.27</v>
      </c>
      <c r="G29" s="9">
        <f t="shared" si="5"/>
        <v>-20455.820000000007</v>
      </c>
      <c r="H29" s="9">
        <f t="shared" si="5"/>
        <v>-7282.1499999999069</v>
      </c>
      <c r="I29" s="9">
        <f t="shared" si="5"/>
        <v>0</v>
      </c>
      <c r="J29" s="9">
        <f t="shared" si="5"/>
        <v>0</v>
      </c>
    </row>
    <row r="30" spans="1:13">
      <c r="B30" s="1" t="s">
        <v>40</v>
      </c>
      <c r="C30" s="9">
        <f>C4+C5+C20+C22</f>
        <v>371729.23</v>
      </c>
      <c r="D30" s="9">
        <f t="shared" ref="D30:J30" si="6">D4+D5+D20+D22</f>
        <v>2788073.98</v>
      </c>
      <c r="E30" s="9">
        <f t="shared" si="6"/>
        <v>135447.67999999999</v>
      </c>
      <c r="F30" s="9">
        <f t="shared" si="6"/>
        <v>2676163.9099999997</v>
      </c>
      <c r="G30" s="9">
        <f t="shared" si="6"/>
        <v>-236281.55000000002</v>
      </c>
      <c r="H30" s="9">
        <f t="shared" si="6"/>
        <v>-111910.07000000011</v>
      </c>
      <c r="I30" s="9">
        <f t="shared" si="6"/>
        <v>0</v>
      </c>
      <c r="J30" s="9">
        <f t="shared" si="6"/>
        <v>0</v>
      </c>
    </row>
    <row r="33" spans="3:5">
      <c r="C33">
        <f>122556.84+695390.72</f>
        <v>817947.55999999994</v>
      </c>
      <c r="D33" s="70"/>
      <c r="E33" s="70">
        <f>62026.7+451935.56</f>
        <v>513962.26</v>
      </c>
    </row>
    <row r="34" spans="3:5">
      <c r="D34" s="70"/>
      <c r="E34" s="70"/>
    </row>
    <row r="35" spans="3:5">
      <c r="D35" s="71"/>
      <c r="E35" s="71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L3" sqref="L3"/>
    </sheetView>
  </sheetViews>
  <sheetFormatPr defaultRowHeight="12.75"/>
  <cols>
    <col min="1" max="1" width="4.140625" customWidth="1"/>
    <col min="2" max="2" width="32.28515625" style="36" customWidth="1"/>
    <col min="3" max="3" width="10.140625" bestFit="1" customWidth="1"/>
    <col min="4" max="4" width="12.42578125" customWidth="1"/>
    <col min="5" max="5" width="10.140625" customWidth="1"/>
    <col min="6" max="6" width="12.28515625" customWidth="1"/>
    <col min="7" max="7" width="13.42578125" customWidth="1"/>
    <col min="8" max="8" width="12.7109375" customWidth="1"/>
    <col min="9" max="9" width="10.140625" bestFit="1" customWidth="1"/>
    <col min="10" max="10" width="11" customWidth="1"/>
    <col min="11" max="11" width="10.140625" bestFit="1" customWidth="1"/>
    <col min="12" max="12" width="12.28515625" customWidth="1"/>
    <col min="13" max="13" width="10.7109375" bestFit="1" customWidth="1"/>
  </cols>
  <sheetData>
    <row r="1" spans="1:13">
      <c r="B1" s="11" t="s">
        <v>52</v>
      </c>
    </row>
    <row r="2" spans="1:13" s="32" customFormat="1" ht="38.25">
      <c r="A2" s="31" t="s">
        <v>0</v>
      </c>
      <c r="B2" s="37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 ht="14.1" customHeight="1">
      <c r="A3" s="1">
        <v>1</v>
      </c>
      <c r="B3" s="34" t="str">
        <f>октябрь!B3</f>
        <v>Содержание общ.имущ.дома</v>
      </c>
      <c r="C3" s="8">
        <f>62966.02+10109.05</f>
        <v>73075.069999999992</v>
      </c>
      <c r="D3" s="18">
        <f>C3+октябрь!D3</f>
        <v>771879.1</v>
      </c>
      <c r="E3" s="9">
        <f>58688.37+5189.35</f>
        <v>63877.72</v>
      </c>
      <c r="F3" s="18">
        <f>E3+октябрь!F3</f>
        <v>734412.33</v>
      </c>
      <c r="G3" s="18">
        <f>E3-C3</f>
        <v>-9197.3499999999913</v>
      </c>
      <c r="H3" s="20">
        <f>F3-D3</f>
        <v>-37466.770000000019</v>
      </c>
      <c r="I3" s="9"/>
      <c r="J3" s="20">
        <f>I3+октябрь!J3</f>
        <v>0</v>
      </c>
      <c r="K3" s="8"/>
      <c r="L3" s="18">
        <f>K3+октябрь!L3</f>
        <v>0</v>
      </c>
    </row>
    <row r="4" spans="1:13" ht="14.1" customHeight="1">
      <c r="A4" s="1">
        <f>A3+1</f>
        <v>2</v>
      </c>
      <c r="B4" s="34" t="str">
        <f>октябрь!B4</f>
        <v>Отопление</v>
      </c>
      <c r="C4" s="8">
        <f>111291.57+17780.49</f>
        <v>129072.06000000001</v>
      </c>
      <c r="D4" s="18">
        <f>C4+октябрь!D4</f>
        <v>1447362.55</v>
      </c>
      <c r="E4" s="9">
        <f>135828.18+9251.5</f>
        <v>145079.67999999999</v>
      </c>
      <c r="F4" s="18">
        <f>E4+октябрь!F4</f>
        <v>1497161.3699999999</v>
      </c>
      <c r="G4" s="18">
        <f t="shared" ref="G4:H22" si="0">E4-C4</f>
        <v>16007.619999999981</v>
      </c>
      <c r="H4" s="20">
        <f t="shared" si="0"/>
        <v>49798.819999999832</v>
      </c>
      <c r="I4" s="9"/>
      <c r="J4" s="20">
        <f>I4+октябрь!J4</f>
        <v>0</v>
      </c>
      <c r="K4" s="8"/>
      <c r="L4" s="18">
        <f>K4+октябрь!L4</f>
        <v>0</v>
      </c>
      <c r="M4" s="25">
        <f>L4-J4</f>
        <v>0</v>
      </c>
    </row>
    <row r="5" spans="1:13" ht="14.1" customHeight="1">
      <c r="A5" s="1">
        <f t="shared" ref="A5:A22" si="1">A4+1</f>
        <v>3</v>
      </c>
      <c r="B5" s="34" t="str">
        <f>октябрь!B5</f>
        <v>Горячее водоснабжение</v>
      </c>
      <c r="C5" s="8">
        <f>130278.4+24788.04</f>
        <v>155066.44</v>
      </c>
      <c r="D5" s="18">
        <f>C5+октябрь!D5</f>
        <v>1577440.8</v>
      </c>
      <c r="E5" s="9">
        <f>109015.27+14731.02</f>
        <v>123746.29000000001</v>
      </c>
      <c r="F5" s="18">
        <f>E5+октябрь!F5</f>
        <v>1391795.85</v>
      </c>
      <c r="G5" s="18">
        <f t="shared" si="0"/>
        <v>-31320.149999999994</v>
      </c>
      <c r="H5" s="20">
        <f t="shared" si="0"/>
        <v>-185644.94999999995</v>
      </c>
      <c r="I5" s="9"/>
      <c r="J5" s="20">
        <f>I5+октябрь!J5</f>
        <v>0</v>
      </c>
      <c r="K5" s="8"/>
      <c r="L5" s="18">
        <f>K5+октябрь!L5</f>
        <v>0</v>
      </c>
      <c r="M5" s="25"/>
    </row>
    <row r="6" spans="1:13" ht="14.1" customHeight="1">
      <c r="A6" s="1">
        <f t="shared" si="1"/>
        <v>4</v>
      </c>
      <c r="B6" s="34" t="str">
        <f>октябрь!B6</f>
        <v>Сод.и ремонт АППЗ</v>
      </c>
      <c r="C6" s="8">
        <f>2240.72+357.25</f>
        <v>2597.9699999999998</v>
      </c>
      <c r="D6" s="18">
        <f>C6+октябрь!D6</f>
        <v>27921.940000000002</v>
      </c>
      <c r="E6" s="9">
        <f>2089.51+183.39</f>
        <v>2272.9</v>
      </c>
      <c r="F6" s="18">
        <f>E6+октябрь!F6</f>
        <v>27164.400000000001</v>
      </c>
      <c r="G6" s="18">
        <f t="shared" si="0"/>
        <v>-325.06999999999971</v>
      </c>
      <c r="H6" s="20">
        <f t="shared" si="0"/>
        <v>-757.54000000000087</v>
      </c>
      <c r="I6" s="9"/>
      <c r="J6" s="20">
        <f>I6+октябрь!J6</f>
        <v>0</v>
      </c>
      <c r="K6" s="8"/>
      <c r="L6" s="18">
        <f>K6+октябрь!L6</f>
        <v>0</v>
      </c>
      <c r="M6" s="25"/>
    </row>
    <row r="7" spans="1:13" ht="14.1" customHeight="1">
      <c r="A7" s="1">
        <f t="shared" si="1"/>
        <v>5</v>
      </c>
      <c r="B7" s="34" t="str">
        <f>октябрь!B7</f>
        <v>Сод.и ремонт лифтов</v>
      </c>
      <c r="C7" s="8">
        <f>11254.71+1794.44</f>
        <v>13049.15</v>
      </c>
      <c r="D7" s="18">
        <f>C7+октябрь!D7</f>
        <v>158682.82999999996</v>
      </c>
      <c r="E7" s="9">
        <f>10436.49+921.83</f>
        <v>11358.32</v>
      </c>
      <c r="F7" s="18">
        <f>E7+октябрь!F7</f>
        <v>160579.73000000004</v>
      </c>
      <c r="G7" s="18">
        <f t="shared" si="0"/>
        <v>-1690.83</v>
      </c>
      <c r="H7" s="20">
        <f t="shared" si="0"/>
        <v>1896.9000000000815</v>
      </c>
      <c r="I7" s="9"/>
      <c r="J7" s="20">
        <f>I7+октябрь!J7</f>
        <v>0</v>
      </c>
      <c r="K7" s="8"/>
      <c r="L7" s="18">
        <f>K7+октябрь!L7</f>
        <v>0</v>
      </c>
      <c r="M7" s="25"/>
    </row>
    <row r="8" spans="1:13" ht="14.1" customHeight="1">
      <c r="A8" s="1">
        <f t="shared" si="1"/>
        <v>6</v>
      </c>
      <c r="B8" s="34" t="str">
        <f>октябрь!B8</f>
        <v>Очистка мусоропроводов</v>
      </c>
      <c r="C8" s="8">
        <f>8056.2+1291.04</f>
        <v>9347.24</v>
      </c>
      <c r="D8" s="18">
        <f>C8+октябрь!D8</f>
        <v>94988.73</v>
      </c>
      <c r="E8" s="9">
        <f>7477.05+662.69</f>
        <v>8139.74</v>
      </c>
      <c r="F8" s="18">
        <f>E8+октябрь!F8</f>
        <v>90410.930000000022</v>
      </c>
      <c r="G8" s="18">
        <f t="shared" si="0"/>
        <v>-1207.5</v>
      </c>
      <c r="H8" s="20">
        <f t="shared" si="0"/>
        <v>-4577.7999999999738</v>
      </c>
      <c r="I8" s="9"/>
      <c r="J8" s="20">
        <f>I8+октябрь!J8</f>
        <v>0</v>
      </c>
      <c r="K8" s="8"/>
      <c r="L8" s="18">
        <f>K8+октябрь!L8</f>
        <v>0</v>
      </c>
      <c r="M8" s="25"/>
    </row>
    <row r="9" spans="1:13" ht="14.1" customHeight="1">
      <c r="A9" s="1">
        <f t="shared" si="1"/>
        <v>7</v>
      </c>
      <c r="B9" s="34" t="str">
        <f>октябрь!B9</f>
        <v>Уборка и сан.очистка зем.уч.</v>
      </c>
      <c r="C9" s="8">
        <f>9574.16+1526.51</f>
        <v>11100.67</v>
      </c>
      <c r="D9" s="18">
        <f>C9+октябрь!D9</f>
        <v>118139.42</v>
      </c>
      <c r="E9" s="9">
        <f>8906.45+783.45</f>
        <v>9689.9000000000015</v>
      </c>
      <c r="F9" s="18">
        <f>E9+октябрь!F9</f>
        <v>111823.22999999998</v>
      </c>
      <c r="G9" s="18">
        <f t="shared" si="0"/>
        <v>-1410.7699999999986</v>
      </c>
      <c r="H9" s="20">
        <f t="shared" si="0"/>
        <v>-6316.1900000000169</v>
      </c>
      <c r="I9" s="9"/>
      <c r="J9" s="20">
        <f>I9+октябрь!J9</f>
        <v>0</v>
      </c>
      <c r="K9" s="8"/>
      <c r="L9" s="18">
        <f>K9+октябрь!L9</f>
        <v>0</v>
      </c>
      <c r="M9" s="25"/>
    </row>
    <row r="10" spans="1:13" ht="14.1" customHeight="1">
      <c r="A10" s="1">
        <f t="shared" si="1"/>
        <v>8</v>
      </c>
      <c r="B10" s="34" t="str">
        <f>октябрь!B10</f>
        <v>Электроснабжение(инд.потр)</v>
      </c>
      <c r="C10" s="8">
        <f>89957.2+15062</f>
        <v>105019.2</v>
      </c>
      <c r="D10" s="18">
        <f>C10+октябрь!D10</f>
        <v>1098598.53</v>
      </c>
      <c r="E10" s="9">
        <f>82668.16+7598.13</f>
        <v>90266.290000000008</v>
      </c>
      <c r="F10" s="18">
        <f>E10+октябрь!F10</f>
        <v>1007391.5100000001</v>
      </c>
      <c r="G10" s="18">
        <f t="shared" si="0"/>
        <v>-14752.909999999989</v>
      </c>
      <c r="H10" s="20">
        <f t="shared" si="0"/>
        <v>-91207.019999999902</v>
      </c>
      <c r="I10" s="9"/>
      <c r="J10" s="20">
        <f>I10+октябрь!J10</f>
        <v>0</v>
      </c>
      <c r="K10" s="8"/>
      <c r="L10" s="18">
        <f>K10+октябрь!L10</f>
        <v>0</v>
      </c>
      <c r="M10" s="25"/>
    </row>
    <row r="11" spans="1:13" ht="14.1" customHeight="1">
      <c r="A11" s="1">
        <f t="shared" si="1"/>
        <v>9</v>
      </c>
      <c r="B11" s="34" t="str">
        <f>октябрь!B11</f>
        <v>Холодная вода</v>
      </c>
      <c r="C11" s="8">
        <f>52522.7+10025.93</f>
        <v>62548.63</v>
      </c>
      <c r="D11" s="18">
        <f>C11+октябрь!D11</f>
        <v>629926.18999999994</v>
      </c>
      <c r="E11" s="9">
        <f>44206.24+5957.34</f>
        <v>50163.58</v>
      </c>
      <c r="F11" s="18">
        <f>E11+октябрь!F11</f>
        <v>558974.73</v>
      </c>
      <c r="G11" s="18">
        <f t="shared" si="0"/>
        <v>-12385.049999999996</v>
      </c>
      <c r="H11" s="20">
        <f t="shared" si="0"/>
        <v>-70951.459999999963</v>
      </c>
      <c r="I11" s="9"/>
      <c r="J11" s="20">
        <f>I11+октябрь!J11</f>
        <v>0</v>
      </c>
      <c r="K11" s="8"/>
      <c r="L11" s="18">
        <f>K11+октябрь!L11</f>
        <v>0</v>
      </c>
      <c r="M11" s="25"/>
    </row>
    <row r="12" spans="1:13" ht="14.1" customHeight="1">
      <c r="A12" s="1">
        <f t="shared" si="1"/>
        <v>10</v>
      </c>
      <c r="B12" s="34" t="str">
        <f>октябрь!B12</f>
        <v>Канализирование х.воды</v>
      </c>
      <c r="C12" s="8">
        <v>0</v>
      </c>
      <c r="D12" s="18">
        <f>C12+октябрь!D12</f>
        <v>-2210.14</v>
      </c>
      <c r="E12" s="8">
        <v>0</v>
      </c>
      <c r="F12" s="18">
        <f>E12+октябрь!F12</f>
        <v>1205.52</v>
      </c>
      <c r="G12" s="18">
        <f t="shared" si="0"/>
        <v>0</v>
      </c>
      <c r="H12" s="20">
        <f t="shared" si="0"/>
        <v>3415.66</v>
      </c>
      <c r="I12" s="9"/>
      <c r="J12" s="20">
        <f>I12+октябрь!J12</f>
        <v>0</v>
      </c>
      <c r="K12" s="8"/>
      <c r="L12" s="18">
        <f>K12+октябрь!L12</f>
        <v>0</v>
      </c>
      <c r="M12" s="25"/>
    </row>
    <row r="13" spans="1:13" ht="14.1" customHeight="1">
      <c r="A13" s="1">
        <f t="shared" si="1"/>
        <v>11</v>
      </c>
      <c r="B13" s="34" t="str">
        <f>октябрь!B13</f>
        <v>Канализирование г.воды</v>
      </c>
      <c r="C13" s="8">
        <v>0</v>
      </c>
      <c r="D13" s="18">
        <f>C13+октябрь!D13</f>
        <v>-1504.92</v>
      </c>
      <c r="E13" s="8">
        <v>0</v>
      </c>
      <c r="F13" s="18">
        <f>E13+октябрь!F13</f>
        <v>339.33000000000004</v>
      </c>
      <c r="G13" s="18">
        <f t="shared" si="0"/>
        <v>0</v>
      </c>
      <c r="H13" s="20">
        <f t="shared" si="0"/>
        <v>1844.25</v>
      </c>
      <c r="I13" s="9"/>
      <c r="J13" s="20">
        <f>I13+октябрь!J13</f>
        <v>0</v>
      </c>
      <c r="K13" s="8"/>
      <c r="L13" s="18">
        <f>K13+октябрь!L13</f>
        <v>0</v>
      </c>
      <c r="M13" s="25"/>
    </row>
    <row r="14" spans="1:13" ht="14.1" customHeight="1">
      <c r="A14" s="1">
        <f t="shared" si="1"/>
        <v>12</v>
      </c>
      <c r="B14" s="34" t="str">
        <f>октябрь!B14</f>
        <v>Тек.ремонт общ.имущ.дома</v>
      </c>
      <c r="C14" s="8">
        <f>31625.19+5042.32</f>
        <v>36667.509999999995</v>
      </c>
      <c r="D14" s="18">
        <f>C14+октябрь!D14</f>
        <v>394931.22999999992</v>
      </c>
      <c r="E14" s="9">
        <f>29498.7+2588.43</f>
        <v>32087.13</v>
      </c>
      <c r="F14" s="18">
        <f>E14+октябрь!F14</f>
        <v>384109.88999999996</v>
      </c>
      <c r="G14" s="18">
        <f t="shared" si="0"/>
        <v>-4580.3799999999937</v>
      </c>
      <c r="H14" s="20">
        <f t="shared" si="0"/>
        <v>-10821.339999999967</v>
      </c>
      <c r="I14" s="9"/>
      <c r="J14" s="20">
        <f>I14+октябрь!J14</f>
        <v>0</v>
      </c>
      <c r="K14" s="8"/>
      <c r="L14" s="18">
        <f>K14+октябрь!L14</f>
        <v>0</v>
      </c>
      <c r="M14" s="25"/>
    </row>
    <row r="15" spans="1:13" ht="14.1" customHeight="1">
      <c r="A15" s="1">
        <f t="shared" si="1"/>
        <v>13</v>
      </c>
      <c r="B15" s="34" t="str">
        <f>октябрь!B15</f>
        <v>Управление многокварт.домом</v>
      </c>
      <c r="C15" s="8">
        <f>15284.09+2435.91</f>
        <v>17720</v>
      </c>
      <c r="D15" s="18">
        <f>C15+октябрь!D15</f>
        <v>177379.82</v>
      </c>
      <c r="E15" s="9">
        <f>14060.13+1250.12</f>
        <v>15310.25</v>
      </c>
      <c r="F15" s="18">
        <f>E15+октябрь!F15</f>
        <v>162156.15</v>
      </c>
      <c r="G15" s="18">
        <f t="shared" si="0"/>
        <v>-2409.75</v>
      </c>
      <c r="H15" s="20">
        <f t="shared" si="0"/>
        <v>-15223.670000000013</v>
      </c>
      <c r="I15" s="9"/>
      <c r="J15" s="20">
        <f>I15+октябрь!J15</f>
        <v>0</v>
      </c>
      <c r="K15" s="8"/>
      <c r="L15" s="18">
        <f>K15+октябрь!L15</f>
        <v>0</v>
      </c>
      <c r="M15" s="25"/>
    </row>
    <row r="16" spans="1:13" ht="14.1" customHeight="1">
      <c r="A16" s="1">
        <f t="shared" si="1"/>
        <v>14</v>
      </c>
      <c r="B16" s="34" t="str">
        <f>октябрь!B16</f>
        <v>Водоотведение (кв)</v>
      </c>
      <c r="C16" s="8">
        <f>89943+17146.43</f>
        <v>107089.43</v>
      </c>
      <c r="D16" s="18">
        <f>C16+октябрь!D16</f>
        <v>1077832.6399999999</v>
      </c>
      <c r="E16" s="9">
        <f>75426.38+10188.37</f>
        <v>85614.75</v>
      </c>
      <c r="F16" s="18">
        <f>E16+октябрь!F16</f>
        <v>956045.82</v>
      </c>
      <c r="G16" s="18">
        <f t="shared" si="0"/>
        <v>-21474.679999999993</v>
      </c>
      <c r="H16" s="20">
        <f t="shared" si="0"/>
        <v>-121786.81999999995</v>
      </c>
      <c r="I16" s="9"/>
      <c r="J16" s="20">
        <f>I16+октябрь!J16</f>
        <v>0</v>
      </c>
      <c r="K16" s="8"/>
      <c r="L16" s="18">
        <f>K16+октябрь!L16</f>
        <v>0</v>
      </c>
      <c r="M16" s="25"/>
    </row>
    <row r="17" spans="1:13" ht="14.1" customHeight="1">
      <c r="A17" s="1">
        <f t="shared" si="1"/>
        <v>15</v>
      </c>
      <c r="B17" s="34" t="str">
        <f>октябрь!B17</f>
        <v>Эксплуатация общедомовых ПУ</v>
      </c>
      <c r="C17" s="8">
        <f>3361.17+535.91</f>
        <v>3897.08</v>
      </c>
      <c r="D17" s="18">
        <f>C17+октябрь!D17</f>
        <v>41803.19</v>
      </c>
      <c r="E17" s="9">
        <f>3134.4+275.11</f>
        <v>3409.51</v>
      </c>
      <c r="F17" s="18">
        <f>E17+октябрь!F17</f>
        <v>40845.719999999994</v>
      </c>
      <c r="G17" s="18">
        <f t="shared" si="0"/>
        <v>-487.56999999999971</v>
      </c>
      <c r="H17" s="20">
        <f t="shared" si="0"/>
        <v>-957.47000000000844</v>
      </c>
      <c r="I17" s="9"/>
      <c r="J17" s="20">
        <f>I17+октябрь!J17</f>
        <v>0</v>
      </c>
      <c r="K17" s="8"/>
      <c r="L17" s="18">
        <f>K17+октябрь!L17</f>
        <v>0</v>
      </c>
      <c r="M17" s="25"/>
    </row>
    <row r="18" spans="1:13" ht="14.1" customHeight="1">
      <c r="A18" s="1">
        <f t="shared" si="1"/>
        <v>16</v>
      </c>
      <c r="B18" s="34" t="str">
        <f>октябрь!B18</f>
        <v>Хол.водоснабжение(о/д нужды)</v>
      </c>
      <c r="C18" s="8">
        <f>1625.14+258.83</f>
        <v>1883.97</v>
      </c>
      <c r="D18" s="18">
        <f>C18+октябрь!D18</f>
        <v>19260.490000000002</v>
      </c>
      <c r="E18" s="9">
        <f>1627.3+133.02</f>
        <v>1760.32</v>
      </c>
      <c r="F18" s="18">
        <f>E18+октябрь!F18</f>
        <v>23591.089999999997</v>
      </c>
      <c r="G18" s="18">
        <f t="shared" si="0"/>
        <v>-123.65000000000009</v>
      </c>
      <c r="H18" s="20">
        <f t="shared" si="0"/>
        <v>4330.5999999999949</v>
      </c>
      <c r="I18" s="9"/>
      <c r="J18" s="20">
        <f>I18+октябрь!J18</f>
        <v>0</v>
      </c>
      <c r="K18" s="8"/>
      <c r="L18" s="18">
        <f>K18+октябрь!L18</f>
        <v>0</v>
      </c>
      <c r="M18" s="25"/>
    </row>
    <row r="19" spans="1:13" ht="14.1" customHeight="1">
      <c r="A19" s="1">
        <f t="shared" si="1"/>
        <v>17</v>
      </c>
      <c r="B19" s="34" t="str">
        <f>октябрь!B19</f>
        <v>Водоотведение(о/д нужды)</v>
      </c>
      <c r="C19" s="8">
        <v>0</v>
      </c>
      <c r="D19" s="18">
        <f>C19+октябрь!D19</f>
        <v>-190.85</v>
      </c>
      <c r="E19" s="8">
        <v>0</v>
      </c>
      <c r="F19" s="18">
        <f>E19+октябрь!F19</f>
        <v>223.08</v>
      </c>
      <c r="G19" s="18">
        <f t="shared" si="0"/>
        <v>0</v>
      </c>
      <c r="H19" s="20">
        <f t="shared" si="0"/>
        <v>413.93</v>
      </c>
      <c r="I19" s="9"/>
      <c r="J19" s="20">
        <f>I19+октябрь!J19</f>
        <v>0</v>
      </c>
      <c r="K19" s="8"/>
      <c r="L19" s="18">
        <f>K19+октябрь!L19</f>
        <v>0</v>
      </c>
      <c r="M19" s="25"/>
    </row>
    <row r="20" spans="1:13" ht="14.1" customHeight="1">
      <c r="A20" s="1">
        <f t="shared" si="1"/>
        <v>18</v>
      </c>
      <c r="B20" s="34" t="str">
        <f>октябрь!B20</f>
        <v>Отопление (о/д нужды)</v>
      </c>
      <c r="C20" s="8">
        <v>0</v>
      </c>
      <c r="D20" s="18">
        <f>C20+октябрь!D20</f>
        <v>-848.48</v>
      </c>
      <c r="E20" s="8">
        <v>0</v>
      </c>
      <c r="F20" s="18">
        <f>E20+октябрь!F20</f>
        <v>786.61</v>
      </c>
      <c r="G20" s="18">
        <f t="shared" si="0"/>
        <v>0</v>
      </c>
      <c r="H20" s="20">
        <f t="shared" si="0"/>
        <v>1635.0900000000001</v>
      </c>
      <c r="I20" s="9"/>
      <c r="J20" s="20">
        <f>I20+октябрь!J20</f>
        <v>0</v>
      </c>
      <c r="K20" s="8"/>
      <c r="L20" s="18">
        <f>K20+октябрь!L20</f>
        <v>0</v>
      </c>
      <c r="M20" s="25"/>
    </row>
    <row r="21" spans="1:13" ht="14.1" customHeight="1">
      <c r="A21" s="1">
        <f t="shared" si="1"/>
        <v>19</v>
      </c>
      <c r="B21" s="34" t="str">
        <f>октябрь!B21</f>
        <v>Электроснабжение(оющед.нужд)</v>
      </c>
      <c r="C21" s="8">
        <f>17835.14+2838.83+2303.89</f>
        <v>22977.86</v>
      </c>
      <c r="D21" s="18">
        <f>C21+октябрь!D21</f>
        <v>289286.95</v>
      </c>
      <c r="E21" s="9">
        <f>8133.43+438.43+3713.75</f>
        <v>12285.61</v>
      </c>
      <c r="F21" s="18">
        <f>E21+октябрь!F21</f>
        <v>347766.66</v>
      </c>
      <c r="G21" s="18">
        <f t="shared" si="0"/>
        <v>-10692.25</v>
      </c>
      <c r="H21" s="20">
        <f t="shared" si="0"/>
        <v>58479.709999999963</v>
      </c>
      <c r="I21" s="9"/>
      <c r="J21" s="20">
        <f>I21+октябрь!J21</f>
        <v>0</v>
      </c>
      <c r="K21" s="8"/>
      <c r="L21" s="18">
        <f>K21+октябрь!L21</f>
        <v>0</v>
      </c>
      <c r="M21" s="25"/>
    </row>
    <row r="22" spans="1:13" ht="14.1" customHeight="1">
      <c r="A22" s="1">
        <f t="shared" si="1"/>
        <v>20</v>
      </c>
      <c r="B22" s="34" t="str">
        <f>октябрь!B22</f>
        <v>Горячее водоснабжение(о/д нужды)</v>
      </c>
      <c r="C22" s="8">
        <f>3490.52+553.13</f>
        <v>4043.65</v>
      </c>
      <c r="D22" s="18">
        <f>C22+октябрь!D22</f>
        <v>52301.260000000009</v>
      </c>
      <c r="E22" s="9">
        <f>3253.45+285.12</f>
        <v>3538.5699999999997</v>
      </c>
      <c r="F22" s="18">
        <f>E22+октябрь!F22</f>
        <v>58784.619999999995</v>
      </c>
      <c r="G22" s="18">
        <f t="shared" si="0"/>
        <v>-505.08000000000038</v>
      </c>
      <c r="H22" s="20">
        <f t="shared" si="0"/>
        <v>6483.359999999986</v>
      </c>
      <c r="I22" s="9"/>
      <c r="J22" s="20">
        <f>I22+октябрь!J22</f>
        <v>0</v>
      </c>
      <c r="K22" s="8"/>
      <c r="L22" s="18">
        <f>K22+октябрь!L22</f>
        <v>0</v>
      </c>
      <c r="M22" s="25"/>
    </row>
    <row r="23" spans="1:13" ht="14.1" customHeight="1">
      <c r="A23" s="76"/>
      <c r="B23" s="73" t="s">
        <v>12</v>
      </c>
      <c r="C23" s="23">
        <f t="shared" ref="C23:L23" si="2">SUM(C3:C22)</f>
        <v>755155.92999999982</v>
      </c>
      <c r="D23" s="23">
        <f t="shared" si="2"/>
        <v>7972981.2800000003</v>
      </c>
      <c r="E23" s="24">
        <f t="shared" si="2"/>
        <v>658600.55999999994</v>
      </c>
      <c r="F23" s="23">
        <f t="shared" si="2"/>
        <v>7555568.5700000003</v>
      </c>
      <c r="G23" s="23">
        <f t="shared" si="2"/>
        <v>-96555.369999999981</v>
      </c>
      <c r="H23" s="24">
        <f t="shared" si="2"/>
        <v>-417412.7099999999</v>
      </c>
      <c r="I23" s="24">
        <f t="shared" si="2"/>
        <v>0</v>
      </c>
      <c r="J23" s="24">
        <f t="shared" si="2"/>
        <v>0</v>
      </c>
      <c r="K23" s="23">
        <f t="shared" si="2"/>
        <v>0</v>
      </c>
      <c r="L23" s="23">
        <f t="shared" si="2"/>
        <v>0</v>
      </c>
    </row>
    <row r="24" spans="1:13" ht="17.25" customHeight="1"/>
    <row r="25" spans="1:13" ht="17.25" customHeight="1"/>
    <row r="26" spans="1:13" ht="17.25" customHeight="1">
      <c r="B26" s="41" t="s">
        <v>36</v>
      </c>
      <c r="C26" s="9">
        <f t="shared" ref="C26:H26" si="3">C4+C7+C8+C9+C10+C15+C16+C18</f>
        <v>394281.72</v>
      </c>
      <c r="D26" s="9">
        <f t="shared" si="3"/>
        <v>4192245.01</v>
      </c>
      <c r="E26" s="9">
        <f t="shared" si="3"/>
        <v>367219.25</v>
      </c>
      <c r="F26" s="9">
        <f t="shared" si="3"/>
        <v>4009159.8299999996</v>
      </c>
      <c r="G26" s="9">
        <f t="shared" si="3"/>
        <v>-27062.47</v>
      </c>
      <c r="H26" s="9">
        <f t="shared" si="3"/>
        <v>-183085.17999999993</v>
      </c>
    </row>
    <row r="27" spans="1:13" ht="17.25" customHeight="1"/>
    <row r="28" spans="1:13" ht="17.25" customHeight="1">
      <c r="B28" s="1" t="s">
        <v>38</v>
      </c>
      <c r="C28" s="9">
        <f>C11+C12+C13+C16+C18+C19</f>
        <v>171522.03</v>
      </c>
      <c r="D28" s="9">
        <f t="shared" ref="D28:J28" si="4">D11+D12+D13+D16+D18+D19</f>
        <v>1723113.4099999997</v>
      </c>
      <c r="E28" s="9">
        <f t="shared" si="4"/>
        <v>137538.65000000002</v>
      </c>
      <c r="F28" s="9">
        <f t="shared" si="4"/>
        <v>1540379.57</v>
      </c>
      <c r="G28" s="9">
        <f t="shared" si="4"/>
        <v>-33983.37999999999</v>
      </c>
      <c r="H28" s="9">
        <f t="shared" si="4"/>
        <v>-182733.83999999991</v>
      </c>
      <c r="I28" s="9">
        <f t="shared" si="4"/>
        <v>0</v>
      </c>
      <c r="J28" s="9">
        <f t="shared" si="4"/>
        <v>0</v>
      </c>
    </row>
    <row r="29" spans="1:13">
      <c r="B29" s="1" t="s">
        <v>39</v>
      </c>
      <c r="C29" s="9">
        <f>C10+C21</f>
        <v>127997.06</v>
      </c>
      <c r="D29" s="9">
        <f t="shared" ref="D29:J29" si="5">D10+D21</f>
        <v>1387885.48</v>
      </c>
      <c r="E29" s="9">
        <f t="shared" si="5"/>
        <v>102551.90000000001</v>
      </c>
      <c r="F29" s="9">
        <f t="shared" si="5"/>
        <v>1355158.1700000002</v>
      </c>
      <c r="G29" s="9">
        <f t="shared" si="5"/>
        <v>-25445.159999999989</v>
      </c>
      <c r="H29" s="9">
        <f t="shared" si="5"/>
        <v>-32727.309999999939</v>
      </c>
      <c r="I29" s="9">
        <f t="shared" si="5"/>
        <v>0</v>
      </c>
      <c r="J29" s="9">
        <f t="shared" si="5"/>
        <v>0</v>
      </c>
    </row>
    <row r="30" spans="1:13">
      <c r="B30" s="1" t="s">
        <v>40</v>
      </c>
      <c r="C30" s="9">
        <f>C4+C5+C20+C22</f>
        <v>288182.15000000002</v>
      </c>
      <c r="D30" s="9">
        <f t="shared" ref="D30:J30" si="6">D4+D5+D20+D22</f>
        <v>3076256.13</v>
      </c>
      <c r="E30" s="9">
        <f t="shared" si="6"/>
        <v>272364.53999999998</v>
      </c>
      <c r="F30" s="9">
        <f t="shared" si="6"/>
        <v>2948528.4499999997</v>
      </c>
      <c r="G30" s="9">
        <f t="shared" si="6"/>
        <v>-15817.610000000013</v>
      </c>
      <c r="H30" s="9">
        <f t="shared" si="6"/>
        <v>-127727.68000000014</v>
      </c>
      <c r="I30" s="9">
        <f t="shared" si="6"/>
        <v>0</v>
      </c>
      <c r="J30" s="9">
        <f t="shared" si="6"/>
        <v>0</v>
      </c>
    </row>
    <row r="34" spans="3:5">
      <c r="C34">
        <f>643609.82+111546.11</f>
        <v>755155.92999999993</v>
      </c>
      <c r="E34">
        <f>598163.26+60437.3</f>
        <v>658600.56000000006</v>
      </c>
    </row>
    <row r="35" spans="3:5">
      <c r="D35" s="11"/>
      <c r="E35" s="1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topLeftCell="A10" workbookViewId="0">
      <selection activeCell="M34" sqref="M34"/>
    </sheetView>
  </sheetViews>
  <sheetFormatPr defaultRowHeight="12.75"/>
  <cols>
    <col min="1" max="1" width="3.7109375" customWidth="1"/>
    <col min="2" max="2" width="32.140625" customWidth="1"/>
    <col min="3" max="3" width="13.7109375" customWidth="1"/>
    <col min="4" max="4" width="14.140625" customWidth="1"/>
    <col min="5" max="5" width="13.85546875" customWidth="1"/>
    <col min="6" max="6" width="14.85546875" customWidth="1"/>
    <col min="7" max="7" width="13.85546875" customWidth="1"/>
    <col min="8" max="8" width="12.5703125" customWidth="1"/>
    <col min="9" max="9" width="10.140625" bestFit="1" customWidth="1"/>
    <col min="10" max="10" width="12.140625" customWidth="1"/>
    <col min="11" max="11" width="9.28515625" bestFit="1" customWidth="1"/>
    <col min="12" max="12" width="11.28515625" customWidth="1"/>
    <col min="13" max="13" width="10.7109375" bestFit="1" customWidth="1"/>
  </cols>
  <sheetData>
    <row r="1" spans="1:13" ht="24.75" customHeight="1">
      <c r="B1" s="11" t="s">
        <v>41</v>
      </c>
      <c r="C1" s="11" t="s">
        <v>53</v>
      </c>
    </row>
    <row r="2" spans="1:13" ht="25.5">
      <c r="A2" s="1" t="s">
        <v>0</v>
      </c>
      <c r="B2" s="26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 ht="14.1" customHeight="1">
      <c r="A3" s="1">
        <v>1</v>
      </c>
      <c r="B3" s="34" t="str">
        <f>ноябрь!B3</f>
        <v>Содержание общ.имущ.дома</v>
      </c>
      <c r="C3" s="86">
        <f>10109.05+63380.73</f>
        <v>73489.78</v>
      </c>
      <c r="D3" s="87">
        <f>C3+ноябрь!D3</f>
        <v>845368.88</v>
      </c>
      <c r="E3" s="88">
        <f>6259.34+69634.11</f>
        <v>75893.45</v>
      </c>
      <c r="F3" s="87">
        <f>E3+ноябрь!F3</f>
        <v>810305.77999999991</v>
      </c>
      <c r="G3" s="87">
        <f>E3-C3</f>
        <v>2403.6699999999983</v>
      </c>
      <c r="H3" s="89">
        <f>F3-D3</f>
        <v>-35063.100000000093</v>
      </c>
      <c r="I3" s="88"/>
      <c r="J3" s="89">
        <f>I3+ноябрь!J3</f>
        <v>0</v>
      </c>
      <c r="K3" s="86"/>
      <c r="L3" s="87">
        <f>K3+ноябрь!L3</f>
        <v>0</v>
      </c>
      <c r="M3" s="90"/>
    </row>
    <row r="4" spans="1:13" ht="14.1" customHeight="1">
      <c r="A4" s="1">
        <f>A3+1</f>
        <v>2</v>
      </c>
      <c r="B4" s="34" t="str">
        <f>ноябрь!B4</f>
        <v>Отопление</v>
      </c>
      <c r="C4" s="86">
        <f>52592.57+330794.65</f>
        <v>383387.22000000003</v>
      </c>
      <c r="D4" s="87">
        <f>C4+ноябрь!D4</f>
        <v>1830749.77</v>
      </c>
      <c r="E4" s="88">
        <f>11297.92+119522.76</f>
        <v>130820.68</v>
      </c>
      <c r="F4" s="87">
        <f>E4+ноябрь!F4</f>
        <v>1627982.0499999998</v>
      </c>
      <c r="G4" s="87">
        <f t="shared" ref="G4:H22" si="0">E4-C4</f>
        <v>-252566.54000000004</v>
      </c>
      <c r="H4" s="89">
        <f t="shared" si="0"/>
        <v>-202767.7200000002</v>
      </c>
      <c r="I4" s="88"/>
      <c r="J4" s="89">
        <f>I4+ноябрь!J4</f>
        <v>0</v>
      </c>
      <c r="K4" s="86"/>
      <c r="L4" s="87">
        <f>K4+ноябрь!L4</f>
        <v>0</v>
      </c>
      <c r="M4" s="90">
        <f>L4-J4</f>
        <v>0</v>
      </c>
    </row>
    <row r="5" spans="1:13" ht="14.1" customHeight="1">
      <c r="A5" s="1">
        <f t="shared" ref="A5:A22" si="1">A4+1</f>
        <v>3</v>
      </c>
      <c r="B5" s="34" t="str">
        <f>ноябрь!B5</f>
        <v>Горячее водоснабжение</v>
      </c>
      <c r="C5" s="86">
        <f>24788.04+128923.15</f>
        <v>153711.19</v>
      </c>
      <c r="D5" s="87">
        <f>C5+ноябрь!D5</f>
        <v>1731151.99</v>
      </c>
      <c r="E5" s="88">
        <f>17437.46+144657.56</f>
        <v>162095.01999999999</v>
      </c>
      <c r="F5" s="87">
        <f>E5+ноябрь!F5</f>
        <v>1553890.87</v>
      </c>
      <c r="G5" s="87">
        <f t="shared" si="0"/>
        <v>8383.8299999999872</v>
      </c>
      <c r="H5" s="89">
        <f t="shared" si="0"/>
        <v>-177261.11999999988</v>
      </c>
      <c r="I5" s="88"/>
      <c r="J5" s="89">
        <f>I5+ноябрь!J5</f>
        <v>0</v>
      </c>
      <c r="K5" s="86"/>
      <c r="L5" s="87">
        <f>K5+ноябрь!L5</f>
        <v>0</v>
      </c>
      <c r="M5" s="90"/>
    </row>
    <row r="6" spans="1:13" ht="14.1" customHeight="1">
      <c r="A6" s="1">
        <f t="shared" si="1"/>
        <v>4</v>
      </c>
      <c r="B6" s="34" t="str">
        <f>ноябрь!B6</f>
        <v>Сод.и ремонт АППЗ</v>
      </c>
      <c r="C6" s="86">
        <f>357.25+2247.09</f>
        <v>2604.34</v>
      </c>
      <c r="D6" s="87">
        <f>C6+ноябрь!D6</f>
        <v>30526.280000000002</v>
      </c>
      <c r="E6" s="88">
        <f>222.84+2483.98</f>
        <v>2706.82</v>
      </c>
      <c r="F6" s="87">
        <f>E6+ноябрь!F6</f>
        <v>29871.22</v>
      </c>
      <c r="G6" s="87">
        <f t="shared" si="0"/>
        <v>102.48000000000002</v>
      </c>
      <c r="H6" s="89">
        <f t="shared" si="0"/>
        <v>-655.06000000000131</v>
      </c>
      <c r="I6" s="88"/>
      <c r="J6" s="89">
        <f>I6+ноябрь!J6</f>
        <v>0</v>
      </c>
      <c r="K6" s="86"/>
      <c r="L6" s="87">
        <f>K6+ноябрь!L6</f>
        <v>0</v>
      </c>
      <c r="M6" s="90"/>
    </row>
    <row r="7" spans="1:13" ht="14.1" customHeight="1">
      <c r="A7" s="1">
        <f t="shared" si="1"/>
        <v>5</v>
      </c>
      <c r="B7" s="34" t="str">
        <f>ноябрь!B7</f>
        <v>Сод.и ремонт лифтов</v>
      </c>
      <c r="C7" s="86">
        <f>1794.44+11286.71</f>
        <v>13081.15</v>
      </c>
      <c r="D7" s="87">
        <f>C7+ноябрь!D7</f>
        <v>171763.97999999995</v>
      </c>
      <c r="E7" s="88">
        <f>1119.25+12553.03</f>
        <v>13672.28</v>
      </c>
      <c r="F7" s="87">
        <f>E7+ноябрь!F7</f>
        <v>174252.01000000004</v>
      </c>
      <c r="G7" s="87">
        <f t="shared" si="0"/>
        <v>591.13000000000102</v>
      </c>
      <c r="H7" s="89">
        <f t="shared" si="0"/>
        <v>2488.0300000000861</v>
      </c>
      <c r="I7" s="88"/>
      <c r="J7" s="89">
        <f>I7+ноябрь!J7</f>
        <v>0</v>
      </c>
      <c r="K7" s="86"/>
      <c r="L7" s="87">
        <f>K7+ноябрь!L7</f>
        <v>0</v>
      </c>
      <c r="M7" s="90"/>
    </row>
    <row r="8" spans="1:13" ht="14.1" customHeight="1">
      <c r="A8" s="1">
        <f t="shared" si="1"/>
        <v>6</v>
      </c>
      <c r="B8" s="34" t="str">
        <f>ноябрь!B8</f>
        <v>Очистка мусоропроводов</v>
      </c>
      <c r="C8" s="86">
        <f>1291.04+8079.2</f>
        <v>9370.24</v>
      </c>
      <c r="D8" s="87">
        <f>C8+ноябрь!D8</f>
        <v>104358.97</v>
      </c>
      <c r="E8" s="88">
        <f>790.72+8757.25</f>
        <v>9547.9699999999993</v>
      </c>
      <c r="F8" s="87">
        <f>E8+ноябрь!F8</f>
        <v>99958.900000000023</v>
      </c>
      <c r="G8" s="87">
        <f t="shared" si="0"/>
        <v>177.72999999999956</v>
      </c>
      <c r="H8" s="89">
        <f t="shared" si="0"/>
        <v>-4400.0699999999779</v>
      </c>
      <c r="I8" s="88"/>
      <c r="J8" s="89">
        <f>I8+ноябрь!J8</f>
        <v>0</v>
      </c>
      <c r="K8" s="86"/>
      <c r="L8" s="87">
        <f>K8+ноябрь!L8</f>
        <v>0</v>
      </c>
      <c r="M8" s="90"/>
    </row>
    <row r="9" spans="1:13" ht="14.1" customHeight="1">
      <c r="A9" s="1">
        <f t="shared" si="1"/>
        <v>7</v>
      </c>
      <c r="B9" s="34" t="str">
        <f>ноябрь!B9</f>
        <v>Уборка и сан.очистка зем.уч.</v>
      </c>
      <c r="C9" s="86">
        <f>1526.51+9601.38</f>
        <v>11127.89</v>
      </c>
      <c r="D9" s="87">
        <f>C9+ноябрь!D9</f>
        <v>129267.31</v>
      </c>
      <c r="E9" s="88">
        <f>947.88+10581.4</f>
        <v>11529.279999999999</v>
      </c>
      <c r="F9" s="87">
        <f>E9+ноябрь!F9</f>
        <v>123352.50999999998</v>
      </c>
      <c r="G9" s="87">
        <f t="shared" si="0"/>
        <v>401.38999999999942</v>
      </c>
      <c r="H9" s="89">
        <f t="shared" si="0"/>
        <v>-5914.8000000000175</v>
      </c>
      <c r="I9" s="88"/>
      <c r="J9" s="89">
        <f>I9+ноябрь!J9</f>
        <v>0</v>
      </c>
      <c r="K9" s="86"/>
      <c r="L9" s="87">
        <f>K9+ноябрь!L9</f>
        <v>0</v>
      </c>
      <c r="M9" s="90"/>
    </row>
    <row r="10" spans="1:13" ht="14.1" customHeight="1">
      <c r="A10" s="1">
        <f t="shared" si="1"/>
        <v>8</v>
      </c>
      <c r="B10" s="34" t="str">
        <f>ноябрь!B10</f>
        <v>Электроснабжение(инд.потр)</v>
      </c>
      <c r="C10" s="86">
        <f>15062+89732.8</f>
        <v>104794.8</v>
      </c>
      <c r="D10" s="87">
        <f>C10+ноябрь!D10</f>
        <v>1203393.33</v>
      </c>
      <c r="E10" s="88">
        <f>8956.9+97522.46</f>
        <v>106479.36</v>
      </c>
      <c r="F10" s="87">
        <f>E10+ноябрь!F10</f>
        <v>1113870.8700000001</v>
      </c>
      <c r="G10" s="87">
        <f t="shared" si="0"/>
        <v>1684.5599999999977</v>
      </c>
      <c r="H10" s="89">
        <f t="shared" si="0"/>
        <v>-89522.459999999963</v>
      </c>
      <c r="I10" s="88"/>
      <c r="J10" s="89">
        <f>I10+ноябрь!J10</f>
        <v>0</v>
      </c>
      <c r="K10" s="86"/>
      <c r="L10" s="87">
        <f>K10+ноябрь!L10</f>
        <v>0</v>
      </c>
      <c r="M10" s="90"/>
    </row>
    <row r="11" spans="1:13" ht="14.1" customHeight="1">
      <c r="A11" s="1">
        <f t="shared" si="1"/>
        <v>9</v>
      </c>
      <c r="B11" s="34" t="str">
        <f>ноябрь!B11</f>
        <v>Холодная вода</v>
      </c>
      <c r="C11" s="86">
        <f>10025.93+50607.46</f>
        <v>60633.39</v>
      </c>
      <c r="D11" s="87">
        <f>C11+ноябрь!D11</f>
        <v>690559.58</v>
      </c>
      <c r="E11" s="88">
        <f>7018.42+58462.5</f>
        <v>65480.92</v>
      </c>
      <c r="F11" s="87">
        <f>E11+ноябрь!F11</f>
        <v>624455.65</v>
      </c>
      <c r="G11" s="87">
        <f t="shared" si="0"/>
        <v>4847.5299999999988</v>
      </c>
      <c r="H11" s="89">
        <f t="shared" si="0"/>
        <v>-66103.929999999935</v>
      </c>
      <c r="I11" s="88"/>
      <c r="J11" s="89">
        <f>I11+ноябрь!J11</f>
        <v>0</v>
      </c>
      <c r="K11" s="86"/>
      <c r="L11" s="87">
        <f>K11+ноябрь!L11</f>
        <v>0</v>
      </c>
      <c r="M11" s="90"/>
    </row>
    <row r="12" spans="1:13" ht="14.1" customHeight="1">
      <c r="A12" s="1">
        <f t="shared" si="1"/>
        <v>10</v>
      </c>
      <c r="B12" s="34" t="str">
        <f>ноябрь!B12</f>
        <v>Канализирование х.воды</v>
      </c>
      <c r="C12" s="86">
        <v>0</v>
      </c>
      <c r="D12" s="87">
        <f>C12+ноябрь!D12</f>
        <v>-2210.14</v>
      </c>
      <c r="E12" s="86">
        <v>0</v>
      </c>
      <c r="F12" s="87">
        <f>E12+ноябрь!F12</f>
        <v>1205.52</v>
      </c>
      <c r="G12" s="87">
        <f t="shared" si="0"/>
        <v>0</v>
      </c>
      <c r="H12" s="89">
        <f t="shared" si="0"/>
        <v>3415.66</v>
      </c>
      <c r="I12" s="88"/>
      <c r="J12" s="89">
        <f>I12+ноябрь!J12</f>
        <v>0</v>
      </c>
      <c r="K12" s="86"/>
      <c r="L12" s="87">
        <f>K12+ноябрь!L12</f>
        <v>0</v>
      </c>
      <c r="M12" s="90"/>
    </row>
    <row r="13" spans="1:13" ht="14.1" customHeight="1">
      <c r="A13" s="1">
        <f t="shared" si="1"/>
        <v>11</v>
      </c>
      <c r="B13" s="34" t="str">
        <f>ноябрь!B13</f>
        <v>Канализирование г.воды</v>
      </c>
      <c r="C13" s="86">
        <v>0</v>
      </c>
      <c r="D13" s="87">
        <f>C13+ноябрь!D13</f>
        <v>-1504.92</v>
      </c>
      <c r="E13" s="86">
        <v>0</v>
      </c>
      <c r="F13" s="87">
        <f>E13+ноябрь!F13</f>
        <v>339.33000000000004</v>
      </c>
      <c r="G13" s="87">
        <f t="shared" si="0"/>
        <v>0</v>
      </c>
      <c r="H13" s="89">
        <f t="shared" si="0"/>
        <v>1844.25</v>
      </c>
      <c r="I13" s="88"/>
      <c r="J13" s="89">
        <f>I13+ноябрь!J13</f>
        <v>0</v>
      </c>
      <c r="K13" s="86"/>
      <c r="L13" s="87">
        <f>K13+ноябрь!L13</f>
        <v>0</v>
      </c>
      <c r="M13" s="90"/>
    </row>
    <row r="14" spans="1:13" ht="14.1" customHeight="1">
      <c r="A14" s="1">
        <f t="shared" si="1"/>
        <v>12</v>
      </c>
      <c r="B14" s="34" t="str">
        <f>ноябрь!B14</f>
        <v>Тек.ремонт общ.имущ.дома</v>
      </c>
      <c r="C14" s="86">
        <f>5042.32+31715.11</f>
        <v>36757.43</v>
      </c>
      <c r="D14" s="87">
        <f>C14+ноябрь!D14</f>
        <v>431688.65999999992</v>
      </c>
      <c r="E14" s="88">
        <f>3145.21+35026.48</f>
        <v>38171.69</v>
      </c>
      <c r="F14" s="87">
        <f>E14+ноябрь!F14</f>
        <v>422281.57999999996</v>
      </c>
      <c r="G14" s="87">
        <f t="shared" si="0"/>
        <v>1414.260000000002</v>
      </c>
      <c r="H14" s="89">
        <f t="shared" si="0"/>
        <v>-9407.0799999999581</v>
      </c>
      <c r="I14" s="88"/>
      <c r="J14" s="89">
        <f>I14+ноябрь!J14</f>
        <v>0</v>
      </c>
      <c r="K14" s="86"/>
      <c r="L14" s="87">
        <f>K14+ноябрь!L14</f>
        <v>0</v>
      </c>
      <c r="M14" s="90"/>
    </row>
    <row r="15" spans="1:13" ht="14.1" customHeight="1">
      <c r="A15" s="1">
        <f t="shared" si="1"/>
        <v>13</v>
      </c>
      <c r="B15" s="34" t="str">
        <f>ноябрь!B15</f>
        <v>Управление многокварт.домом</v>
      </c>
      <c r="C15" s="86">
        <f>2435.91+15321.3</f>
        <v>17757.21</v>
      </c>
      <c r="D15" s="87">
        <f>C15+ноябрь!D15</f>
        <v>195137.03</v>
      </c>
      <c r="E15" s="88">
        <f>1482.54+16775.58</f>
        <v>18258.120000000003</v>
      </c>
      <c r="F15" s="87">
        <f>E15+ноябрь!F15</f>
        <v>180414.27</v>
      </c>
      <c r="G15" s="87">
        <f t="shared" si="0"/>
        <v>500.91000000000349</v>
      </c>
      <c r="H15" s="89">
        <f t="shared" si="0"/>
        <v>-14722.760000000009</v>
      </c>
      <c r="I15" s="88"/>
      <c r="J15" s="89">
        <f>I15+ноябрь!J15</f>
        <v>0</v>
      </c>
      <c r="K15" s="86"/>
      <c r="L15" s="87">
        <f>K15+ноябрь!L15</f>
        <v>0</v>
      </c>
      <c r="M15" s="90"/>
    </row>
    <row r="16" spans="1:13" ht="14.1" customHeight="1">
      <c r="A16" s="1">
        <f t="shared" si="1"/>
        <v>14</v>
      </c>
      <c r="B16" s="34" t="str">
        <f>ноябрь!B16</f>
        <v>Водоотведение (кв)</v>
      </c>
      <c r="C16" s="86">
        <f>17146.43+87640.26</f>
        <v>104786.69</v>
      </c>
      <c r="D16" s="87">
        <f>C16+ноябрь!D16</f>
        <v>1182619.3299999998</v>
      </c>
      <c r="E16" s="88">
        <f>12002.93+100043.31</f>
        <v>112046.23999999999</v>
      </c>
      <c r="F16" s="87">
        <f>E16+ноябрь!F16</f>
        <v>1068092.06</v>
      </c>
      <c r="G16" s="87">
        <f t="shared" si="0"/>
        <v>7259.5499999999884</v>
      </c>
      <c r="H16" s="89">
        <f t="shared" si="0"/>
        <v>-114527.26999999979</v>
      </c>
      <c r="I16" s="88"/>
      <c r="J16" s="89">
        <f>I16+ноябрь!J16</f>
        <v>0</v>
      </c>
      <c r="K16" s="86"/>
      <c r="L16" s="87">
        <f>K16+ноябрь!L16</f>
        <v>0</v>
      </c>
      <c r="M16" s="90"/>
    </row>
    <row r="17" spans="1:13" ht="14.1" customHeight="1">
      <c r="A17" s="1">
        <f t="shared" si="1"/>
        <v>15</v>
      </c>
      <c r="B17" s="34" t="str">
        <f>ноябрь!B17</f>
        <v>Эксплуатация общедомовых ПУ</v>
      </c>
      <c r="C17" s="86">
        <f>535.91+3370.73</f>
        <v>3906.64</v>
      </c>
      <c r="D17" s="87">
        <f>C17+ноябрь!D17</f>
        <v>45709.83</v>
      </c>
      <c r="E17" s="88">
        <f>334.29+3724.09</f>
        <v>4058.38</v>
      </c>
      <c r="F17" s="87">
        <f>E17+ноябрь!F17</f>
        <v>44904.099999999991</v>
      </c>
      <c r="G17" s="87">
        <f t="shared" si="0"/>
        <v>151.74000000000024</v>
      </c>
      <c r="H17" s="89">
        <f t="shared" si="0"/>
        <v>-805.73000000001048</v>
      </c>
      <c r="I17" s="88"/>
      <c r="J17" s="89">
        <f>I17+ноябрь!J17</f>
        <v>0</v>
      </c>
      <c r="K17" s="86"/>
      <c r="L17" s="87">
        <f>K17+ноябрь!L17</f>
        <v>0</v>
      </c>
      <c r="M17" s="90"/>
    </row>
    <row r="18" spans="1:13" ht="14.1" customHeight="1">
      <c r="A18" s="1">
        <f t="shared" si="1"/>
        <v>16</v>
      </c>
      <c r="B18" s="34" t="str">
        <f>ноябрь!B18</f>
        <v>Хол.водоснабжение(о/д нужды)</v>
      </c>
      <c r="C18" s="86">
        <f>258.83+1629.65</f>
        <v>1888.48</v>
      </c>
      <c r="D18" s="87">
        <f>C18+ноябрь!D18</f>
        <v>21148.97</v>
      </c>
      <c r="E18" s="88">
        <f>159.31+1872.63</f>
        <v>2031.94</v>
      </c>
      <c r="F18" s="87">
        <f>E18+ноябрь!F18</f>
        <v>25623.029999999995</v>
      </c>
      <c r="G18" s="87">
        <f t="shared" si="0"/>
        <v>143.46000000000004</v>
      </c>
      <c r="H18" s="89">
        <f t="shared" si="0"/>
        <v>4474.059999999994</v>
      </c>
      <c r="I18" s="88"/>
      <c r="J18" s="89">
        <f>I18+ноябрь!J18</f>
        <v>0</v>
      </c>
      <c r="K18" s="86"/>
      <c r="L18" s="87">
        <f>K18+ноябрь!L18</f>
        <v>0</v>
      </c>
      <c r="M18" s="90"/>
    </row>
    <row r="19" spans="1:13" ht="14.1" customHeight="1">
      <c r="A19" s="1">
        <f t="shared" si="1"/>
        <v>17</v>
      </c>
      <c r="B19" s="34" t="str">
        <f>ноябрь!B19</f>
        <v>Водоотведение(о/д нужды)</v>
      </c>
      <c r="C19" s="86">
        <v>0</v>
      </c>
      <c r="D19" s="87">
        <f>C19+ноябрь!D19</f>
        <v>-190.85</v>
      </c>
      <c r="E19" s="86">
        <v>0</v>
      </c>
      <c r="F19" s="87">
        <f>E19+ноябрь!F19</f>
        <v>223.08</v>
      </c>
      <c r="G19" s="87">
        <f t="shared" si="0"/>
        <v>0</v>
      </c>
      <c r="H19" s="89">
        <f t="shared" si="0"/>
        <v>413.93</v>
      </c>
      <c r="I19" s="88"/>
      <c r="J19" s="89">
        <f>I19+ноябрь!J19</f>
        <v>0</v>
      </c>
      <c r="K19" s="86"/>
      <c r="L19" s="87">
        <f>K19+ноябрь!L19</f>
        <v>0</v>
      </c>
      <c r="M19" s="90"/>
    </row>
    <row r="20" spans="1:13" ht="14.1" customHeight="1">
      <c r="A20" s="1">
        <f t="shared" si="1"/>
        <v>18</v>
      </c>
      <c r="B20" s="34" t="str">
        <f>ноябрь!B20</f>
        <v>Отопление (о/д нужды)</v>
      </c>
      <c r="C20" s="86">
        <v>0</v>
      </c>
      <c r="D20" s="87">
        <f>C20+ноябрь!D20</f>
        <v>-848.48</v>
      </c>
      <c r="E20" s="86">
        <v>0</v>
      </c>
      <c r="F20" s="87">
        <f>E20+ноябрь!F20</f>
        <v>786.61</v>
      </c>
      <c r="G20" s="87">
        <f t="shared" si="0"/>
        <v>0</v>
      </c>
      <c r="H20" s="89">
        <f t="shared" si="0"/>
        <v>1635.0900000000001</v>
      </c>
      <c r="I20" s="88"/>
      <c r="J20" s="89">
        <f>I20+ноябрь!J20</f>
        <v>0</v>
      </c>
      <c r="K20" s="86"/>
      <c r="L20" s="87">
        <f>K20+ноябрь!L20</f>
        <v>0</v>
      </c>
      <c r="M20" s="90"/>
    </row>
    <row r="21" spans="1:13" ht="14.1" customHeight="1">
      <c r="A21" s="1">
        <f t="shared" si="1"/>
        <v>19</v>
      </c>
      <c r="B21" s="34" t="str">
        <f>ноябрь!B21</f>
        <v>Электроснабжение(оющед.нужд)</v>
      </c>
      <c r="C21" s="86">
        <f>6298.79+39617.85+3506.02</f>
        <v>49422.659999999996</v>
      </c>
      <c r="D21" s="87">
        <f>C21+ноябрь!D21</f>
        <v>338709.61</v>
      </c>
      <c r="E21" s="88">
        <f>1786.88+17890.85+3787.84</f>
        <v>23465.57</v>
      </c>
      <c r="F21" s="87">
        <f>E21+ноябрь!F21</f>
        <v>371232.23</v>
      </c>
      <c r="G21" s="87">
        <f t="shared" si="0"/>
        <v>-25957.089999999997</v>
      </c>
      <c r="H21" s="89">
        <f t="shared" si="0"/>
        <v>32522.619999999995</v>
      </c>
      <c r="I21" s="88"/>
      <c r="J21" s="89">
        <f>I21+ноябрь!J21</f>
        <v>0</v>
      </c>
      <c r="K21" s="86"/>
      <c r="L21" s="87">
        <f>K21+ноябрь!L21</f>
        <v>0</v>
      </c>
      <c r="M21" s="90"/>
    </row>
    <row r="22" spans="1:13" ht="14.1" customHeight="1">
      <c r="A22" s="1">
        <f t="shared" si="1"/>
        <v>20</v>
      </c>
      <c r="B22" s="34" t="str">
        <f>ноябрь!B22</f>
        <v>Горячее водоснабжение(о/д нужды)</v>
      </c>
      <c r="C22" s="86">
        <f>553.13+3499.95</f>
        <v>4053.08</v>
      </c>
      <c r="D22" s="87">
        <f>C22+ноябрь!D22</f>
        <v>56354.340000000011</v>
      </c>
      <c r="E22" s="88">
        <f>342.18+3977.55</f>
        <v>4319.7300000000005</v>
      </c>
      <c r="F22" s="87">
        <f>E22+ноябрь!F22</f>
        <v>63104.35</v>
      </c>
      <c r="G22" s="87">
        <f t="shared" si="0"/>
        <v>266.65000000000055</v>
      </c>
      <c r="H22" s="89">
        <f t="shared" si="0"/>
        <v>6750.0099999999875</v>
      </c>
      <c r="I22" s="88"/>
      <c r="J22" s="89">
        <f>I22+ноябрь!J22</f>
        <v>0</v>
      </c>
      <c r="K22" s="86"/>
      <c r="L22" s="87">
        <f>K22+ноябрь!L22</f>
        <v>0</v>
      </c>
      <c r="M22" s="90"/>
    </row>
    <row r="23" spans="1:13" ht="14.1" customHeight="1">
      <c r="A23" s="22"/>
      <c r="B23" s="77" t="s">
        <v>12</v>
      </c>
      <c r="C23" s="92">
        <f t="shared" ref="C23:L23" si="2">SUM(C3:C22)</f>
        <v>1030772.1900000001</v>
      </c>
      <c r="D23" s="92">
        <f t="shared" si="2"/>
        <v>9003753.4699999988</v>
      </c>
      <c r="E23" s="93">
        <f t="shared" si="2"/>
        <v>780577.44999999984</v>
      </c>
      <c r="F23" s="92">
        <f t="shared" si="2"/>
        <v>8336146.0199999996</v>
      </c>
      <c r="G23" s="92">
        <f t="shared" si="2"/>
        <v>-250194.74000000008</v>
      </c>
      <c r="H23" s="93">
        <f t="shared" si="2"/>
        <v>-667607.44999999972</v>
      </c>
      <c r="I23" s="93">
        <f t="shared" si="2"/>
        <v>0</v>
      </c>
      <c r="J23" s="93">
        <f t="shared" si="2"/>
        <v>0</v>
      </c>
      <c r="K23" s="92">
        <f t="shared" si="2"/>
        <v>0</v>
      </c>
      <c r="L23" s="92">
        <f t="shared" si="2"/>
        <v>0</v>
      </c>
      <c r="M23" s="90"/>
    </row>
    <row r="24" spans="1:13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5" customHeight="1">
      <c r="B25" s="41" t="s">
        <v>36</v>
      </c>
      <c r="C25" s="88">
        <f t="shared" ref="C25:H25" si="3">C3+C6+C7+C8+C9+C14+C15+C17</f>
        <v>168094.68</v>
      </c>
      <c r="D25" s="88">
        <f t="shared" si="3"/>
        <v>1953820.9400000002</v>
      </c>
      <c r="E25" s="88">
        <f t="shared" si="3"/>
        <v>173837.99</v>
      </c>
      <c r="F25" s="88">
        <f t="shared" si="3"/>
        <v>1885340.37</v>
      </c>
      <c r="G25" s="88">
        <f t="shared" si="3"/>
        <v>5743.3100000000031</v>
      </c>
      <c r="H25" s="88">
        <f t="shared" si="3"/>
        <v>-68480.569999999978</v>
      </c>
      <c r="I25" s="90"/>
      <c r="J25" s="90"/>
      <c r="K25" s="90"/>
      <c r="L25" s="90"/>
      <c r="M25" s="90"/>
    </row>
    <row r="26" spans="1:13" ht="15" customHeight="1"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3" ht="15" customHeight="1">
      <c r="B27" s="42" t="s">
        <v>38</v>
      </c>
      <c r="C27" s="91">
        <f>C11+C12+C13+C16+C18+C19</f>
        <v>167308.56000000003</v>
      </c>
      <c r="D27" s="91">
        <f>D11+D12+D13+D16+D18+D19</f>
        <v>1890421.9699999995</v>
      </c>
      <c r="E27" s="91">
        <f t="shared" ref="E27:H27" si="4">E11+E12+E13+E16+E18+E19</f>
        <v>179559.09999999998</v>
      </c>
      <c r="F27" s="91">
        <f t="shared" si="4"/>
        <v>1719938.6700000002</v>
      </c>
      <c r="G27" s="91">
        <f t="shared" si="4"/>
        <v>12250.539999999986</v>
      </c>
      <c r="H27" s="91">
        <f t="shared" si="4"/>
        <v>-170483.29999999973</v>
      </c>
      <c r="I27" s="91">
        <f t="shared" ref="I27:J27" si="5">I11+I12+I13+I16+I18+I19</f>
        <v>0</v>
      </c>
      <c r="J27" s="91">
        <f t="shared" si="5"/>
        <v>0</v>
      </c>
      <c r="K27" s="90"/>
      <c r="L27" s="90"/>
      <c r="M27" s="90"/>
    </row>
    <row r="28" spans="1:13">
      <c r="B28" s="42" t="s">
        <v>39</v>
      </c>
      <c r="C28" s="91">
        <f>C10+C21</f>
        <v>154217.46</v>
      </c>
      <c r="D28" s="91">
        <f>D10+D21</f>
        <v>1542102.94</v>
      </c>
      <c r="E28" s="91">
        <f t="shared" ref="E28:H28" si="6">E10+E21</f>
        <v>129944.93</v>
      </c>
      <c r="F28" s="91">
        <f t="shared" si="6"/>
        <v>1485103.1</v>
      </c>
      <c r="G28" s="91">
        <f t="shared" si="6"/>
        <v>-24272.53</v>
      </c>
      <c r="H28" s="91">
        <f t="shared" si="6"/>
        <v>-56999.839999999967</v>
      </c>
      <c r="I28" s="91">
        <f t="shared" ref="I28:J28" si="7">I10+I21</f>
        <v>0</v>
      </c>
      <c r="J28" s="91">
        <f t="shared" si="7"/>
        <v>0</v>
      </c>
      <c r="K28" s="90"/>
      <c r="L28" s="90"/>
      <c r="M28" s="90"/>
    </row>
    <row r="29" spans="1:13">
      <c r="B29" s="42" t="s">
        <v>40</v>
      </c>
      <c r="C29" s="91">
        <f>C4+C5+C20+C22</f>
        <v>541151.49</v>
      </c>
      <c r="D29" s="91">
        <f>D4+D5+D20+D22</f>
        <v>3617407.6199999996</v>
      </c>
      <c r="E29" s="91">
        <f t="shared" ref="E29:H29" si="8">E4+E5+E20+E22</f>
        <v>297235.42999999993</v>
      </c>
      <c r="F29" s="91">
        <f t="shared" si="8"/>
        <v>3245763.88</v>
      </c>
      <c r="G29" s="91">
        <f t="shared" si="8"/>
        <v>-243916.06000000006</v>
      </c>
      <c r="H29" s="91">
        <f t="shared" si="8"/>
        <v>-371643.74000000005</v>
      </c>
      <c r="I29" s="91">
        <f t="shared" ref="I29:J29" si="9">I4+I5+I20+I22</f>
        <v>0</v>
      </c>
      <c r="J29" s="91">
        <f t="shared" si="9"/>
        <v>0</v>
      </c>
      <c r="K29" s="90"/>
      <c r="L29" s="90"/>
      <c r="M29" s="90"/>
    </row>
    <row r="30" spans="1:13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1:13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>
      <c r="C32">
        <f>149818.15+880954.04</f>
        <v>1030772.1900000001</v>
      </c>
      <c r="E32">
        <f>73304.07+707273.38</f>
        <v>780577.45</v>
      </c>
    </row>
    <row r="33" spans="3:13">
      <c r="C33" s="70"/>
      <c r="D33" s="70"/>
      <c r="E33" s="70"/>
    </row>
    <row r="34" spans="3:13">
      <c r="C34" s="70"/>
      <c r="D34" s="70"/>
      <c r="E34" s="70"/>
      <c r="M34" s="94"/>
    </row>
    <row r="35" spans="3:13">
      <c r="C35" s="71"/>
      <c r="D35" s="71"/>
      <c r="E35" s="71"/>
    </row>
    <row r="36" spans="3:13">
      <c r="C36" s="70"/>
      <c r="D36" s="70"/>
      <c r="E36" s="70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N14" sqref="N14"/>
    </sheetView>
  </sheetViews>
  <sheetFormatPr defaultRowHeight="12.75"/>
  <cols>
    <col min="1" max="1" width="3.7109375" customWidth="1"/>
    <col min="2" max="2" width="32.140625" customWidth="1"/>
    <col min="3" max="3" width="15" customWidth="1"/>
    <col min="4" max="4" width="14.28515625" customWidth="1"/>
    <col min="5" max="5" width="15.42578125" customWidth="1"/>
    <col min="6" max="6" width="13" customWidth="1"/>
    <col min="7" max="7" width="10.7109375" customWidth="1"/>
    <col min="8" max="8" width="12.5703125" customWidth="1"/>
    <col min="9" max="9" width="10.140625" bestFit="1" customWidth="1"/>
    <col min="10" max="10" width="12.140625" customWidth="1"/>
    <col min="11" max="11" width="9.28515625" bestFit="1" customWidth="1"/>
    <col min="12" max="12" width="11.28515625" customWidth="1"/>
    <col min="13" max="13" width="10.7109375" bestFit="1" customWidth="1"/>
  </cols>
  <sheetData>
    <row r="1" spans="1:13" ht="24.75" customHeight="1">
      <c r="B1" s="11" t="s">
        <v>41</v>
      </c>
      <c r="C1" s="11" t="s">
        <v>54</v>
      </c>
    </row>
    <row r="2" spans="1:13" ht="25.5">
      <c r="A2" s="1" t="s">
        <v>0</v>
      </c>
      <c r="B2" s="26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 ht="14.1" customHeight="1">
      <c r="A3" s="1">
        <v>1</v>
      </c>
      <c r="B3" s="34" t="str">
        <f>ноябрь!B3</f>
        <v>Содержание общ.имущ.дома</v>
      </c>
      <c r="C3" s="78"/>
      <c r="D3" s="79">
        <f>C3+декабрь18!D3</f>
        <v>845368.88</v>
      </c>
      <c r="E3" s="80"/>
      <c r="F3" s="79">
        <f>E3+декабрь18!F3</f>
        <v>810305.77999999991</v>
      </c>
      <c r="G3" s="79">
        <f>E3-C3</f>
        <v>0</v>
      </c>
      <c r="H3" s="81">
        <f>F3-D3</f>
        <v>-35063.100000000093</v>
      </c>
      <c r="I3" s="80"/>
      <c r="J3" s="81">
        <f>I3+декабрь18!J3</f>
        <v>0</v>
      </c>
      <c r="K3" s="78"/>
      <c r="L3" s="79">
        <f>K3+декабрь18!L3</f>
        <v>0</v>
      </c>
    </row>
    <row r="4" spans="1:13" ht="14.1" customHeight="1">
      <c r="A4" s="1">
        <f>A3+1</f>
        <v>2</v>
      </c>
      <c r="B4" s="34" t="str">
        <f>ноябрь!B4</f>
        <v>Отопление</v>
      </c>
      <c r="C4" s="78"/>
      <c r="D4" s="79">
        <f>C4+декабрь18!D4</f>
        <v>1830749.77</v>
      </c>
      <c r="E4" s="80"/>
      <c r="F4" s="79">
        <f>E4+декабрь18!F4</f>
        <v>1627982.0499999998</v>
      </c>
      <c r="G4" s="79">
        <f t="shared" ref="G4:H22" si="0">E4-C4</f>
        <v>0</v>
      </c>
      <c r="H4" s="81">
        <f t="shared" si="0"/>
        <v>-202767.7200000002</v>
      </c>
      <c r="I4" s="80"/>
      <c r="J4" s="81">
        <f>I4+декабрь18!J4</f>
        <v>0</v>
      </c>
      <c r="K4" s="78"/>
      <c r="L4" s="79">
        <f>K4+декабрь18!L4</f>
        <v>0</v>
      </c>
      <c r="M4" s="25">
        <f>L4-J4</f>
        <v>0</v>
      </c>
    </row>
    <row r="5" spans="1:13" ht="14.1" customHeight="1">
      <c r="A5" s="1">
        <f t="shared" ref="A5:A22" si="1">A4+1</f>
        <v>3</v>
      </c>
      <c r="B5" s="34" t="str">
        <f>ноябрь!B5</f>
        <v>Горячее водоснабжение</v>
      </c>
      <c r="C5" s="78"/>
      <c r="D5" s="79">
        <f>C5+декабрь18!D5</f>
        <v>1731151.99</v>
      </c>
      <c r="E5" s="80"/>
      <c r="F5" s="79">
        <f>E5+декабрь18!F5</f>
        <v>1553890.87</v>
      </c>
      <c r="G5" s="79">
        <f t="shared" si="0"/>
        <v>0</v>
      </c>
      <c r="H5" s="81">
        <f t="shared" si="0"/>
        <v>-177261.11999999988</v>
      </c>
      <c r="I5" s="80"/>
      <c r="J5" s="81">
        <f>I5+декабрь18!J5</f>
        <v>0</v>
      </c>
      <c r="K5" s="78"/>
      <c r="L5" s="79">
        <f>K5+декабрь18!L5</f>
        <v>0</v>
      </c>
    </row>
    <row r="6" spans="1:13" ht="14.1" customHeight="1">
      <c r="A6" s="1">
        <f t="shared" si="1"/>
        <v>4</v>
      </c>
      <c r="B6" s="34" t="str">
        <f>ноябрь!B6</f>
        <v>Сод.и ремонт АППЗ</v>
      </c>
      <c r="C6" s="78"/>
      <c r="D6" s="79">
        <f>C6+декабрь18!D6</f>
        <v>30526.280000000002</v>
      </c>
      <c r="E6" s="80"/>
      <c r="F6" s="79">
        <f>E6+декабрь18!F6</f>
        <v>29871.22</v>
      </c>
      <c r="G6" s="79">
        <f t="shared" si="0"/>
        <v>0</v>
      </c>
      <c r="H6" s="81">
        <f t="shared" si="0"/>
        <v>-655.06000000000131</v>
      </c>
      <c r="I6" s="80"/>
      <c r="J6" s="81">
        <f>I6+декабрь18!J6</f>
        <v>0</v>
      </c>
      <c r="K6" s="78"/>
      <c r="L6" s="79">
        <f>K6+декабрь18!L6</f>
        <v>0</v>
      </c>
    </row>
    <row r="7" spans="1:13" ht="14.1" customHeight="1">
      <c r="A7" s="1">
        <f t="shared" si="1"/>
        <v>5</v>
      </c>
      <c r="B7" s="34" t="str">
        <f>ноябрь!B7</f>
        <v>Сод.и ремонт лифтов</v>
      </c>
      <c r="C7" s="78"/>
      <c r="D7" s="79">
        <f>C7+декабрь18!D7</f>
        <v>171763.97999999995</v>
      </c>
      <c r="E7" s="80"/>
      <c r="F7" s="79">
        <f>E7+декабрь18!F7</f>
        <v>174252.01000000004</v>
      </c>
      <c r="G7" s="79">
        <f t="shared" si="0"/>
        <v>0</v>
      </c>
      <c r="H7" s="81">
        <f t="shared" si="0"/>
        <v>2488.0300000000861</v>
      </c>
      <c r="I7" s="80"/>
      <c r="J7" s="81">
        <f>I7+декабрь18!J7</f>
        <v>0</v>
      </c>
      <c r="K7" s="78"/>
      <c r="L7" s="79">
        <f>K7+декабрь18!L7</f>
        <v>0</v>
      </c>
    </row>
    <row r="8" spans="1:13" ht="14.1" customHeight="1">
      <c r="A8" s="1">
        <f t="shared" si="1"/>
        <v>6</v>
      </c>
      <c r="B8" s="34" t="str">
        <f>ноябрь!B8</f>
        <v>Очистка мусоропроводов</v>
      </c>
      <c r="C8" s="78"/>
      <c r="D8" s="79">
        <f>C8+декабрь18!D8</f>
        <v>104358.97</v>
      </c>
      <c r="E8" s="80"/>
      <c r="F8" s="79">
        <f>E8+декабрь18!F8</f>
        <v>99958.900000000023</v>
      </c>
      <c r="G8" s="79">
        <f t="shared" si="0"/>
        <v>0</v>
      </c>
      <c r="H8" s="81">
        <f t="shared" si="0"/>
        <v>-4400.0699999999779</v>
      </c>
      <c r="I8" s="80"/>
      <c r="J8" s="81">
        <f>I8+декабрь18!J8</f>
        <v>0</v>
      </c>
      <c r="K8" s="78"/>
      <c r="L8" s="79">
        <f>K8+декабрь18!L8</f>
        <v>0</v>
      </c>
    </row>
    <row r="9" spans="1:13" ht="14.1" customHeight="1">
      <c r="A9" s="1">
        <f t="shared" si="1"/>
        <v>7</v>
      </c>
      <c r="B9" s="34" t="str">
        <f>ноябрь!B9</f>
        <v>Уборка и сан.очистка зем.уч.</v>
      </c>
      <c r="C9" s="78"/>
      <c r="D9" s="79">
        <f>C9+декабрь18!D9</f>
        <v>129267.31</v>
      </c>
      <c r="E9" s="80"/>
      <c r="F9" s="79">
        <f>E9+декабрь18!F9</f>
        <v>123352.50999999998</v>
      </c>
      <c r="G9" s="79">
        <f t="shared" si="0"/>
        <v>0</v>
      </c>
      <c r="H9" s="81">
        <f t="shared" si="0"/>
        <v>-5914.8000000000175</v>
      </c>
      <c r="I9" s="80"/>
      <c r="J9" s="81">
        <f>I9+декабрь18!J9</f>
        <v>0</v>
      </c>
      <c r="K9" s="78"/>
      <c r="L9" s="79">
        <f>K9+декабрь18!L9</f>
        <v>0</v>
      </c>
    </row>
    <row r="10" spans="1:13" ht="14.1" customHeight="1">
      <c r="A10" s="1">
        <f t="shared" si="1"/>
        <v>8</v>
      </c>
      <c r="B10" s="34" t="str">
        <f>ноябрь!B10</f>
        <v>Электроснабжение(инд.потр)</v>
      </c>
      <c r="C10" s="78"/>
      <c r="D10" s="79">
        <f>C10+декабрь18!D10</f>
        <v>1203393.33</v>
      </c>
      <c r="E10" s="80"/>
      <c r="F10" s="79">
        <f>E10+декабрь18!F10</f>
        <v>1113870.8700000001</v>
      </c>
      <c r="G10" s="79">
        <f t="shared" si="0"/>
        <v>0</v>
      </c>
      <c r="H10" s="81">
        <f t="shared" si="0"/>
        <v>-89522.459999999963</v>
      </c>
      <c r="I10" s="80"/>
      <c r="J10" s="81">
        <f>I10+декабрь18!J10</f>
        <v>0</v>
      </c>
      <c r="K10" s="78"/>
      <c r="L10" s="79">
        <f>K10+декабрь18!L10</f>
        <v>0</v>
      </c>
    </row>
    <row r="11" spans="1:13" ht="14.1" customHeight="1">
      <c r="A11" s="1">
        <f t="shared" si="1"/>
        <v>9</v>
      </c>
      <c r="B11" s="34" t="str">
        <f>ноябрь!B11</f>
        <v>Холодная вода</v>
      </c>
      <c r="C11" s="78"/>
      <c r="D11" s="79">
        <f>C11+декабрь18!D11</f>
        <v>690559.58</v>
      </c>
      <c r="E11" s="80"/>
      <c r="F11" s="79">
        <f>E11+декабрь18!F11</f>
        <v>624455.65</v>
      </c>
      <c r="G11" s="79">
        <f t="shared" si="0"/>
        <v>0</v>
      </c>
      <c r="H11" s="81">
        <f t="shared" si="0"/>
        <v>-66103.929999999935</v>
      </c>
      <c r="I11" s="80"/>
      <c r="J11" s="81">
        <f>I11+декабрь18!J11</f>
        <v>0</v>
      </c>
      <c r="K11" s="78"/>
      <c r="L11" s="79">
        <f>K11+декабрь18!L11</f>
        <v>0</v>
      </c>
    </row>
    <row r="12" spans="1:13" ht="14.1" customHeight="1">
      <c r="A12" s="1">
        <f t="shared" si="1"/>
        <v>10</v>
      </c>
      <c r="B12" s="34" t="str">
        <f>ноябрь!B12</f>
        <v>Канализирование х.воды</v>
      </c>
      <c r="C12" s="78"/>
      <c r="D12" s="79">
        <f>C12+декабрь18!D12</f>
        <v>-2210.14</v>
      </c>
      <c r="E12" s="78"/>
      <c r="F12" s="79">
        <f>E12+декабрь18!F12</f>
        <v>1205.52</v>
      </c>
      <c r="G12" s="79">
        <f t="shared" si="0"/>
        <v>0</v>
      </c>
      <c r="H12" s="81">
        <f t="shared" si="0"/>
        <v>3415.66</v>
      </c>
      <c r="I12" s="80"/>
      <c r="J12" s="81">
        <f>I12+декабрь18!J12</f>
        <v>0</v>
      </c>
      <c r="K12" s="78"/>
      <c r="L12" s="79">
        <f>K12+декабрь18!L12</f>
        <v>0</v>
      </c>
    </row>
    <row r="13" spans="1:13" ht="14.1" customHeight="1">
      <c r="A13" s="1">
        <f t="shared" si="1"/>
        <v>11</v>
      </c>
      <c r="B13" s="34" t="str">
        <f>ноябрь!B13</f>
        <v>Канализирование г.воды</v>
      </c>
      <c r="C13" s="78"/>
      <c r="D13" s="79">
        <f>C13+декабрь18!D13</f>
        <v>-1504.92</v>
      </c>
      <c r="E13" s="78"/>
      <c r="F13" s="79">
        <f>E13+декабрь18!F13</f>
        <v>339.33000000000004</v>
      </c>
      <c r="G13" s="79">
        <f t="shared" si="0"/>
        <v>0</v>
      </c>
      <c r="H13" s="81">
        <f t="shared" si="0"/>
        <v>1844.25</v>
      </c>
      <c r="I13" s="80"/>
      <c r="J13" s="81">
        <f>I13+декабрь18!J13</f>
        <v>0</v>
      </c>
      <c r="K13" s="78"/>
      <c r="L13" s="79">
        <f>K13+декабрь18!L13</f>
        <v>0</v>
      </c>
    </row>
    <row r="14" spans="1:13" ht="14.1" customHeight="1">
      <c r="A14" s="1">
        <f t="shared" si="1"/>
        <v>12</v>
      </c>
      <c r="B14" s="34" t="str">
        <f>ноябрь!B14</f>
        <v>Тек.ремонт общ.имущ.дома</v>
      </c>
      <c r="C14" s="78"/>
      <c r="D14" s="79">
        <f>C14+декабрь18!D14</f>
        <v>431688.65999999992</v>
      </c>
      <c r="E14" s="80"/>
      <c r="F14" s="79">
        <f>E14+декабрь18!F14</f>
        <v>422281.57999999996</v>
      </c>
      <c r="G14" s="79">
        <f t="shared" si="0"/>
        <v>0</v>
      </c>
      <c r="H14" s="81">
        <f t="shared" si="0"/>
        <v>-9407.0799999999581</v>
      </c>
      <c r="I14" s="80"/>
      <c r="J14" s="81">
        <f>I14+декабрь18!J14</f>
        <v>0</v>
      </c>
      <c r="K14" s="78"/>
      <c r="L14" s="79">
        <f>K14+декабрь18!L14</f>
        <v>0</v>
      </c>
    </row>
    <row r="15" spans="1:13" ht="14.1" customHeight="1">
      <c r="A15" s="1">
        <f t="shared" si="1"/>
        <v>13</v>
      </c>
      <c r="B15" s="34" t="str">
        <f>ноябрь!B15</f>
        <v>Управление многокварт.домом</v>
      </c>
      <c r="C15" s="78"/>
      <c r="D15" s="79">
        <f>C15+декабрь18!D15</f>
        <v>195137.03</v>
      </c>
      <c r="E15" s="80"/>
      <c r="F15" s="79">
        <f>E15+декабрь18!F15</f>
        <v>180414.27</v>
      </c>
      <c r="G15" s="79">
        <f t="shared" si="0"/>
        <v>0</v>
      </c>
      <c r="H15" s="81">
        <f t="shared" si="0"/>
        <v>-14722.760000000009</v>
      </c>
      <c r="I15" s="80"/>
      <c r="J15" s="81">
        <f>I15+декабрь18!J15</f>
        <v>0</v>
      </c>
      <c r="K15" s="78"/>
      <c r="L15" s="79">
        <f>K15+декабрь18!L15</f>
        <v>0</v>
      </c>
    </row>
    <row r="16" spans="1:13" ht="14.1" customHeight="1">
      <c r="A16" s="1">
        <f t="shared" si="1"/>
        <v>14</v>
      </c>
      <c r="B16" s="34" t="str">
        <f>ноябрь!B16</f>
        <v>Водоотведение (кв)</v>
      </c>
      <c r="C16" s="78"/>
      <c r="D16" s="79">
        <f>C16+декабрь18!D16</f>
        <v>1182619.3299999998</v>
      </c>
      <c r="E16" s="80"/>
      <c r="F16" s="79">
        <f>E16+декабрь18!F16</f>
        <v>1068092.06</v>
      </c>
      <c r="G16" s="79">
        <f t="shared" si="0"/>
        <v>0</v>
      </c>
      <c r="H16" s="81">
        <f t="shared" si="0"/>
        <v>-114527.26999999979</v>
      </c>
      <c r="I16" s="80"/>
      <c r="J16" s="81">
        <f>I16+декабрь18!J16</f>
        <v>0</v>
      </c>
      <c r="K16" s="78"/>
      <c r="L16" s="79">
        <f>K16+декабрь18!L16</f>
        <v>0</v>
      </c>
    </row>
    <row r="17" spans="1:12" ht="14.1" customHeight="1">
      <c r="A17" s="1">
        <f t="shared" si="1"/>
        <v>15</v>
      </c>
      <c r="B17" s="34" t="str">
        <f>ноябрь!B17</f>
        <v>Эксплуатация общедомовых ПУ</v>
      </c>
      <c r="C17" s="78"/>
      <c r="D17" s="79">
        <f>C17+декабрь18!D17</f>
        <v>45709.83</v>
      </c>
      <c r="E17" s="80"/>
      <c r="F17" s="79">
        <f>E17+декабрь18!F17</f>
        <v>44904.099999999991</v>
      </c>
      <c r="G17" s="79">
        <f t="shared" si="0"/>
        <v>0</v>
      </c>
      <c r="H17" s="81">
        <f t="shared" si="0"/>
        <v>-805.73000000001048</v>
      </c>
      <c r="I17" s="80"/>
      <c r="J17" s="81">
        <f>I17+декабрь18!J17</f>
        <v>0</v>
      </c>
      <c r="K17" s="78"/>
      <c r="L17" s="79">
        <f>K17+декабрь18!L17</f>
        <v>0</v>
      </c>
    </row>
    <row r="18" spans="1:12" ht="14.1" customHeight="1">
      <c r="A18" s="1">
        <f t="shared" si="1"/>
        <v>16</v>
      </c>
      <c r="B18" s="34" t="str">
        <f>ноябрь!B18</f>
        <v>Хол.водоснабжение(о/д нужды)</v>
      </c>
      <c r="C18" s="78"/>
      <c r="D18" s="79">
        <f>C18+декабрь18!D18</f>
        <v>21148.97</v>
      </c>
      <c r="E18" s="80"/>
      <c r="F18" s="79">
        <f>E18+декабрь18!F18</f>
        <v>25623.029999999995</v>
      </c>
      <c r="G18" s="79">
        <f t="shared" si="0"/>
        <v>0</v>
      </c>
      <c r="H18" s="81">
        <f t="shared" si="0"/>
        <v>4474.059999999994</v>
      </c>
      <c r="I18" s="80"/>
      <c r="J18" s="81">
        <f>I18+декабрь18!J18</f>
        <v>0</v>
      </c>
      <c r="K18" s="78"/>
      <c r="L18" s="79">
        <f>K18+декабрь18!L18</f>
        <v>0</v>
      </c>
    </row>
    <row r="19" spans="1:12" ht="14.1" customHeight="1">
      <c r="A19" s="1">
        <f t="shared" si="1"/>
        <v>17</v>
      </c>
      <c r="B19" s="34" t="str">
        <f>ноябрь!B19</f>
        <v>Водоотведение(о/д нужды)</v>
      </c>
      <c r="C19" s="78"/>
      <c r="D19" s="79">
        <f>C19+декабрь18!D19</f>
        <v>-190.85</v>
      </c>
      <c r="E19" s="78"/>
      <c r="F19" s="79">
        <f>E19+декабрь18!F19</f>
        <v>223.08</v>
      </c>
      <c r="G19" s="79">
        <f t="shared" si="0"/>
        <v>0</v>
      </c>
      <c r="H19" s="81">
        <f t="shared" si="0"/>
        <v>413.93</v>
      </c>
      <c r="I19" s="80"/>
      <c r="J19" s="81">
        <f>I19+декабрь18!J19</f>
        <v>0</v>
      </c>
      <c r="K19" s="78"/>
      <c r="L19" s="79">
        <f>K19+декабрь18!L19</f>
        <v>0</v>
      </c>
    </row>
    <row r="20" spans="1:12" ht="14.1" customHeight="1">
      <c r="A20" s="1">
        <f t="shared" si="1"/>
        <v>18</v>
      </c>
      <c r="B20" s="34" t="str">
        <f>ноябрь!B20</f>
        <v>Отопление (о/д нужды)</v>
      </c>
      <c r="C20" s="78"/>
      <c r="D20" s="79">
        <f>C20+декабрь18!D20</f>
        <v>-848.48</v>
      </c>
      <c r="E20" s="78"/>
      <c r="F20" s="79">
        <f>E20+декабрь18!F20</f>
        <v>786.61</v>
      </c>
      <c r="G20" s="79">
        <f t="shared" si="0"/>
        <v>0</v>
      </c>
      <c r="H20" s="81">
        <f t="shared" si="0"/>
        <v>1635.0900000000001</v>
      </c>
      <c r="I20" s="80"/>
      <c r="J20" s="81">
        <f>I20+декабрь18!J20</f>
        <v>0</v>
      </c>
      <c r="K20" s="78"/>
      <c r="L20" s="79">
        <f>K20+декабрь18!L20</f>
        <v>0</v>
      </c>
    </row>
    <row r="21" spans="1:12" ht="14.1" customHeight="1">
      <c r="A21" s="1">
        <f t="shared" si="1"/>
        <v>19</v>
      </c>
      <c r="B21" s="34" t="str">
        <f>ноябрь!B21</f>
        <v>Электроснабжение(оющед.нужд)</v>
      </c>
      <c r="C21" s="78"/>
      <c r="D21" s="79">
        <f>C21+декабрь18!D21</f>
        <v>338709.61</v>
      </c>
      <c r="E21" s="80"/>
      <c r="F21" s="79">
        <f>E21+декабрь18!F21</f>
        <v>371232.23</v>
      </c>
      <c r="G21" s="79">
        <f t="shared" si="0"/>
        <v>0</v>
      </c>
      <c r="H21" s="81">
        <f t="shared" si="0"/>
        <v>32522.619999999995</v>
      </c>
      <c r="I21" s="80"/>
      <c r="J21" s="81">
        <f>I21+декабрь18!J21</f>
        <v>0</v>
      </c>
      <c r="K21" s="78"/>
      <c r="L21" s="79">
        <f>K21+декабрь18!L21</f>
        <v>0</v>
      </c>
    </row>
    <row r="22" spans="1:12" ht="14.1" customHeight="1">
      <c r="A22" s="1">
        <f t="shared" si="1"/>
        <v>20</v>
      </c>
      <c r="B22" s="34" t="str">
        <f>ноябрь!B22</f>
        <v>Горячее водоснабжение(о/д нужды)</v>
      </c>
      <c r="C22" s="78"/>
      <c r="D22" s="79">
        <f>C22+декабрь18!D22</f>
        <v>56354.340000000011</v>
      </c>
      <c r="E22" s="80"/>
      <c r="F22" s="79">
        <f>E22+декабрь18!F22</f>
        <v>63104.35</v>
      </c>
      <c r="G22" s="79">
        <f t="shared" si="0"/>
        <v>0</v>
      </c>
      <c r="H22" s="81">
        <f t="shared" si="0"/>
        <v>6750.0099999999875</v>
      </c>
      <c r="I22" s="80"/>
      <c r="J22" s="81">
        <f>I22+декабрь18!J22</f>
        <v>0</v>
      </c>
      <c r="K22" s="78"/>
      <c r="L22" s="79">
        <f>K22+декабрь18!L22</f>
        <v>0</v>
      </c>
    </row>
    <row r="23" spans="1:12" ht="14.1" customHeight="1">
      <c r="A23" s="22"/>
      <c r="B23" s="77" t="s">
        <v>12</v>
      </c>
      <c r="C23" s="82">
        <f t="shared" ref="C23:L23" si="2">SUM(C3:C22)</f>
        <v>0</v>
      </c>
      <c r="D23" s="82">
        <f t="shared" si="2"/>
        <v>9003753.4699999988</v>
      </c>
      <c r="E23" s="83">
        <f t="shared" si="2"/>
        <v>0</v>
      </c>
      <c r="F23" s="82">
        <f t="shared" si="2"/>
        <v>8336146.0199999996</v>
      </c>
      <c r="G23" s="82">
        <f t="shared" si="2"/>
        <v>0</v>
      </c>
      <c r="H23" s="83">
        <f t="shared" si="2"/>
        <v>-667607.44999999972</v>
      </c>
      <c r="I23" s="83">
        <f t="shared" si="2"/>
        <v>0</v>
      </c>
      <c r="J23" s="83">
        <f t="shared" si="2"/>
        <v>0</v>
      </c>
      <c r="K23" s="82">
        <f t="shared" si="2"/>
        <v>0</v>
      </c>
      <c r="L23" s="82">
        <f t="shared" si="2"/>
        <v>0</v>
      </c>
    </row>
    <row r="24" spans="1:12"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2" ht="15" customHeight="1">
      <c r="B25" s="41" t="s">
        <v>36</v>
      </c>
      <c r="C25" s="80">
        <f t="shared" ref="C25:H25" si="3">C3+C6+C7+C8+C9+C14+C15+C17</f>
        <v>0</v>
      </c>
      <c r="D25" s="80">
        <f t="shared" si="3"/>
        <v>1953820.9400000002</v>
      </c>
      <c r="E25" s="80">
        <f t="shared" si="3"/>
        <v>0</v>
      </c>
      <c r="F25" s="80">
        <f t="shared" si="3"/>
        <v>1885340.37</v>
      </c>
      <c r="G25" s="80">
        <f t="shared" si="3"/>
        <v>0</v>
      </c>
      <c r="H25" s="80">
        <f t="shared" si="3"/>
        <v>-68480.569999999978</v>
      </c>
      <c r="I25" s="84"/>
      <c r="J25" s="84"/>
      <c r="K25" s="84"/>
      <c r="L25" s="84"/>
    </row>
    <row r="26" spans="1:12" ht="15" customHeight="1"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2" ht="15" customHeight="1">
      <c r="B27" s="42" t="s">
        <v>38</v>
      </c>
      <c r="C27" s="85">
        <f>C11+C12+C13+C16+C18+C19</f>
        <v>0</v>
      </c>
      <c r="D27" s="85">
        <f>D11+D12+D13+D16+D18+D19</f>
        <v>1890421.9699999995</v>
      </c>
      <c r="E27" s="85">
        <f t="shared" ref="E27:J27" si="4">E11+E12+E13+E16+E18+E19</f>
        <v>0</v>
      </c>
      <c r="F27" s="85">
        <f t="shared" si="4"/>
        <v>1719938.6700000002</v>
      </c>
      <c r="G27" s="85">
        <f t="shared" si="4"/>
        <v>0</v>
      </c>
      <c r="H27" s="85">
        <f t="shared" si="4"/>
        <v>-170483.29999999973</v>
      </c>
      <c r="I27" s="85">
        <f t="shared" si="4"/>
        <v>0</v>
      </c>
      <c r="J27" s="85">
        <f t="shared" si="4"/>
        <v>0</v>
      </c>
      <c r="K27" s="84"/>
      <c r="L27" s="84"/>
    </row>
    <row r="28" spans="1:12">
      <c r="B28" s="42" t="s">
        <v>39</v>
      </c>
      <c r="C28" s="85">
        <f>C10+C21</f>
        <v>0</v>
      </c>
      <c r="D28" s="85">
        <f>D10+D21</f>
        <v>1542102.94</v>
      </c>
      <c r="E28" s="85">
        <f t="shared" ref="E28:J28" si="5">E10+E21</f>
        <v>0</v>
      </c>
      <c r="F28" s="85">
        <f t="shared" si="5"/>
        <v>1485103.1</v>
      </c>
      <c r="G28" s="85">
        <f t="shared" si="5"/>
        <v>0</v>
      </c>
      <c r="H28" s="85">
        <f t="shared" si="5"/>
        <v>-56999.839999999967</v>
      </c>
      <c r="I28" s="85">
        <f t="shared" si="5"/>
        <v>0</v>
      </c>
      <c r="J28" s="85">
        <f t="shared" si="5"/>
        <v>0</v>
      </c>
      <c r="K28" s="84"/>
      <c r="L28" s="84"/>
    </row>
    <row r="29" spans="1:12">
      <c r="B29" s="42" t="s">
        <v>40</v>
      </c>
      <c r="C29" s="85">
        <f>C4+C5+C20+C22</f>
        <v>0</v>
      </c>
      <c r="D29" s="85">
        <f>D4+D5+D20+D22</f>
        <v>3617407.6199999996</v>
      </c>
      <c r="E29" s="85">
        <f t="shared" ref="E29:J29" si="6">E4+E5+E20+E22</f>
        <v>0</v>
      </c>
      <c r="F29" s="85">
        <f t="shared" si="6"/>
        <v>3245763.88</v>
      </c>
      <c r="G29" s="85">
        <f t="shared" si="6"/>
        <v>0</v>
      </c>
      <c r="H29" s="85">
        <f t="shared" si="6"/>
        <v>-371643.74000000005</v>
      </c>
      <c r="I29" s="85">
        <f t="shared" si="6"/>
        <v>0</v>
      </c>
      <c r="J29" s="85">
        <f t="shared" si="6"/>
        <v>0</v>
      </c>
      <c r="K29" s="84"/>
      <c r="L29" s="84"/>
    </row>
    <row r="30" spans="1:12"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2"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3" spans="3:5">
      <c r="C33" s="70"/>
      <c r="D33" s="70"/>
      <c r="E33" s="70"/>
    </row>
    <row r="34" spans="3:5">
      <c r="C34" s="70"/>
      <c r="D34" s="70"/>
      <c r="E34" s="70"/>
    </row>
    <row r="35" spans="3:5">
      <c r="C35" s="71"/>
      <c r="D35" s="71"/>
      <c r="E35" s="71"/>
    </row>
    <row r="36" spans="3:5">
      <c r="C36" s="70"/>
      <c r="D36" s="70"/>
      <c r="E36" s="70"/>
    </row>
  </sheetData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24"/>
  <sheetViews>
    <sheetView workbookViewId="0">
      <selection activeCell="H39" sqref="H39"/>
    </sheetView>
  </sheetViews>
  <sheetFormatPr defaultRowHeight="12.75"/>
  <cols>
    <col min="1" max="1" width="4.140625" customWidth="1"/>
    <col min="2" max="2" width="21" customWidth="1"/>
  </cols>
  <sheetData>
    <row r="3" spans="1:12">
      <c r="A3" s="1" t="s">
        <v>0</v>
      </c>
      <c r="B3" s="5" t="s">
        <v>1</v>
      </c>
      <c r="C3" s="4" t="s">
        <v>2</v>
      </c>
      <c r="D3" s="5" t="s">
        <v>3</v>
      </c>
      <c r="E3" s="6" t="s">
        <v>4</v>
      </c>
      <c r="F3" s="5" t="s">
        <v>5</v>
      </c>
      <c r="G3" s="5" t="s">
        <v>6</v>
      </c>
      <c r="H3" s="6" t="s">
        <v>7</v>
      </c>
      <c r="I3" s="6" t="s">
        <v>8</v>
      </c>
      <c r="J3" s="6" t="s">
        <v>9</v>
      </c>
      <c r="K3" s="5" t="s">
        <v>10</v>
      </c>
      <c r="L3" s="5" t="s">
        <v>11</v>
      </c>
    </row>
    <row r="4" spans="1:12">
      <c r="A4" s="1">
        <v>1</v>
      </c>
      <c r="B4" s="7" t="s">
        <v>14</v>
      </c>
      <c r="C4" s="3"/>
      <c r="D4" s="3" t="e">
        <f>#REF!+Январь!C4</f>
        <v>#REF!</v>
      </c>
      <c r="E4" s="2"/>
      <c r="F4" s="3" t="e">
        <f>#REF!+Январь!E4</f>
        <v>#REF!</v>
      </c>
      <c r="G4" s="3">
        <f>E4-C4</f>
        <v>0</v>
      </c>
      <c r="H4" s="2" t="e">
        <f>F4-D4</f>
        <v>#REF!</v>
      </c>
      <c r="I4" s="2"/>
      <c r="J4" s="2" t="e">
        <f>#REF!+Январь!I4</f>
        <v>#REF!</v>
      </c>
      <c r="K4" s="3"/>
      <c r="L4" s="3" t="e">
        <f>K4+#REF!</f>
        <v>#REF!</v>
      </c>
    </row>
    <row r="5" spans="1:12">
      <c r="A5" s="1">
        <f>A4+1</f>
        <v>2</v>
      </c>
      <c r="B5" s="7"/>
      <c r="C5" s="3"/>
      <c r="D5" s="3"/>
      <c r="E5" s="2"/>
      <c r="F5" s="3"/>
      <c r="G5" s="3"/>
      <c r="H5" s="2"/>
      <c r="I5" s="2"/>
      <c r="J5" s="2"/>
      <c r="K5" s="3"/>
      <c r="L5" s="3"/>
    </row>
    <row r="6" spans="1:12">
      <c r="A6" s="1">
        <f t="shared" ref="A6:A23" si="0">A5+1</f>
        <v>3</v>
      </c>
      <c r="B6" s="7"/>
      <c r="C6" s="3"/>
      <c r="D6" s="3"/>
      <c r="E6" s="2"/>
      <c r="F6" s="3"/>
      <c r="G6" s="3"/>
      <c r="H6" s="2"/>
      <c r="I6" s="2"/>
      <c r="J6" s="2"/>
      <c r="K6" s="3"/>
      <c r="L6" s="3"/>
    </row>
    <row r="7" spans="1:12">
      <c r="A7" s="1">
        <f t="shared" si="0"/>
        <v>4</v>
      </c>
      <c r="B7" s="7"/>
      <c r="C7" s="3"/>
      <c r="D7" s="3"/>
      <c r="E7" s="2"/>
      <c r="F7" s="3"/>
      <c r="G7" s="3"/>
      <c r="H7" s="2"/>
      <c r="I7" s="2"/>
      <c r="J7" s="2"/>
      <c r="K7" s="3"/>
      <c r="L7" s="3"/>
    </row>
    <row r="8" spans="1:12">
      <c r="A8" s="1">
        <f t="shared" si="0"/>
        <v>5</v>
      </c>
      <c r="B8" s="7"/>
      <c r="C8" s="3"/>
      <c r="D8" s="3"/>
      <c r="E8" s="2"/>
      <c r="F8" s="3"/>
      <c r="G8" s="3"/>
      <c r="H8" s="2"/>
      <c r="I8" s="2"/>
      <c r="J8" s="2"/>
      <c r="K8" s="3"/>
      <c r="L8" s="3"/>
    </row>
    <row r="9" spans="1:12">
      <c r="A9" s="1">
        <f t="shared" si="0"/>
        <v>6</v>
      </c>
      <c r="B9" s="7"/>
      <c r="C9" s="3"/>
      <c r="D9" s="3"/>
      <c r="E9" s="2"/>
      <c r="F9" s="3"/>
      <c r="G9" s="3"/>
      <c r="H9" s="2"/>
      <c r="I9" s="2"/>
      <c r="J9" s="2"/>
      <c r="K9" s="3"/>
      <c r="L9" s="3"/>
    </row>
    <row r="10" spans="1:12">
      <c r="A10" s="1">
        <f t="shared" si="0"/>
        <v>7</v>
      </c>
      <c r="B10" s="7"/>
      <c r="C10" s="3"/>
      <c r="D10" s="3"/>
      <c r="E10" s="2"/>
      <c r="F10" s="3"/>
      <c r="G10" s="3"/>
      <c r="H10" s="2"/>
      <c r="I10" s="2"/>
      <c r="J10" s="2"/>
      <c r="K10" s="3"/>
      <c r="L10" s="3"/>
    </row>
    <row r="11" spans="1:12">
      <c r="A11" s="1">
        <f t="shared" si="0"/>
        <v>8</v>
      </c>
      <c r="B11" s="7"/>
      <c r="C11" s="3"/>
      <c r="D11" s="3"/>
      <c r="E11" s="2"/>
      <c r="F11" s="3"/>
      <c r="G11" s="3"/>
      <c r="H11" s="2"/>
      <c r="I11" s="2"/>
      <c r="J11" s="2"/>
      <c r="K11" s="3"/>
      <c r="L11" s="3"/>
    </row>
    <row r="12" spans="1:12">
      <c r="A12" s="1">
        <f t="shared" si="0"/>
        <v>9</v>
      </c>
      <c r="B12" s="7"/>
      <c r="C12" s="3"/>
      <c r="D12" s="3"/>
      <c r="E12" s="2"/>
      <c r="F12" s="3"/>
      <c r="G12" s="3"/>
      <c r="H12" s="2"/>
      <c r="I12" s="2"/>
      <c r="J12" s="2"/>
      <c r="K12" s="3"/>
      <c r="L12" s="3"/>
    </row>
    <row r="13" spans="1:12">
      <c r="A13" s="1">
        <f t="shared" si="0"/>
        <v>10</v>
      </c>
      <c r="B13" s="7"/>
      <c r="C13" s="3"/>
      <c r="D13" s="3"/>
      <c r="E13" s="2"/>
      <c r="F13" s="3"/>
      <c r="G13" s="3"/>
      <c r="H13" s="2"/>
      <c r="I13" s="2"/>
      <c r="J13" s="2"/>
      <c r="K13" s="3"/>
      <c r="L13" s="3"/>
    </row>
    <row r="14" spans="1:12">
      <c r="A14" s="1">
        <f t="shared" si="0"/>
        <v>11</v>
      </c>
      <c r="B14" s="7"/>
      <c r="C14" s="3"/>
      <c r="D14" s="3"/>
      <c r="E14" s="2"/>
      <c r="F14" s="3"/>
      <c r="G14" s="3"/>
      <c r="H14" s="2"/>
      <c r="I14" s="2"/>
      <c r="J14" s="2"/>
      <c r="K14" s="3"/>
      <c r="L14" s="3"/>
    </row>
    <row r="15" spans="1:12">
      <c r="A15" s="1">
        <f t="shared" si="0"/>
        <v>12</v>
      </c>
      <c r="B15" s="7"/>
      <c r="C15" s="3"/>
      <c r="D15" s="3"/>
      <c r="E15" s="2"/>
      <c r="F15" s="3"/>
      <c r="G15" s="3"/>
      <c r="H15" s="2"/>
      <c r="I15" s="2"/>
      <c r="J15" s="2"/>
      <c r="K15" s="3"/>
      <c r="L15" s="3"/>
    </row>
    <row r="16" spans="1:12">
      <c r="A16" s="1">
        <f t="shared" si="0"/>
        <v>13</v>
      </c>
      <c r="B16" s="7"/>
      <c r="C16" s="3"/>
      <c r="D16" s="3"/>
      <c r="E16" s="2"/>
      <c r="F16" s="3"/>
      <c r="G16" s="3"/>
      <c r="H16" s="2"/>
      <c r="I16" s="2"/>
      <c r="J16" s="2"/>
      <c r="K16" s="3"/>
      <c r="L16" s="3"/>
    </row>
    <row r="17" spans="1:12">
      <c r="A17" s="1">
        <f t="shared" si="0"/>
        <v>14</v>
      </c>
      <c r="B17" s="7"/>
      <c r="C17" s="3"/>
      <c r="D17" s="3"/>
      <c r="E17" s="2"/>
      <c r="F17" s="3"/>
      <c r="G17" s="3"/>
      <c r="H17" s="2"/>
      <c r="I17" s="2"/>
      <c r="J17" s="2"/>
      <c r="K17" s="3"/>
      <c r="L17" s="3"/>
    </row>
    <row r="18" spans="1:12">
      <c r="A18" s="1">
        <f t="shared" si="0"/>
        <v>15</v>
      </c>
      <c r="B18" s="7"/>
      <c r="C18" s="3"/>
      <c r="D18" s="3"/>
      <c r="E18" s="2"/>
      <c r="F18" s="3"/>
      <c r="G18" s="3"/>
      <c r="H18" s="2"/>
      <c r="I18" s="2"/>
      <c r="J18" s="2"/>
      <c r="K18" s="3"/>
      <c r="L18" s="3"/>
    </row>
    <row r="19" spans="1:12">
      <c r="A19" s="1">
        <f t="shared" si="0"/>
        <v>16</v>
      </c>
      <c r="B19" s="7"/>
      <c r="C19" s="3"/>
      <c r="D19" s="3"/>
      <c r="E19" s="2"/>
      <c r="F19" s="3"/>
      <c r="G19" s="3"/>
      <c r="H19" s="2"/>
      <c r="I19" s="2"/>
      <c r="J19" s="2"/>
      <c r="K19" s="3"/>
      <c r="L19" s="3"/>
    </row>
    <row r="20" spans="1:12">
      <c r="A20" s="1">
        <f t="shared" si="0"/>
        <v>17</v>
      </c>
      <c r="B20" s="7"/>
      <c r="C20" s="3"/>
      <c r="D20" s="3"/>
      <c r="E20" s="2"/>
      <c r="F20" s="3"/>
      <c r="G20" s="3"/>
      <c r="H20" s="2"/>
      <c r="I20" s="2"/>
      <c r="J20" s="2"/>
      <c r="K20" s="3"/>
      <c r="L20" s="3"/>
    </row>
    <row r="21" spans="1:12">
      <c r="A21" s="1">
        <f t="shared" si="0"/>
        <v>18</v>
      </c>
      <c r="B21" s="7"/>
      <c r="C21" s="3"/>
      <c r="D21" s="3"/>
      <c r="E21" s="2"/>
      <c r="F21" s="3"/>
      <c r="G21" s="3"/>
      <c r="H21" s="2"/>
      <c r="I21" s="2"/>
      <c r="J21" s="2"/>
      <c r="K21" s="3"/>
      <c r="L21" s="3"/>
    </row>
    <row r="22" spans="1:12">
      <c r="A22" s="1">
        <f t="shared" si="0"/>
        <v>19</v>
      </c>
      <c r="B22" s="7"/>
      <c r="C22" s="3"/>
      <c r="D22" s="3"/>
      <c r="E22" s="2"/>
      <c r="F22" s="3"/>
      <c r="G22" s="3"/>
      <c r="H22" s="2"/>
      <c r="I22" s="2"/>
      <c r="J22" s="2"/>
      <c r="K22" s="3"/>
      <c r="L22" s="3"/>
    </row>
    <row r="23" spans="1:12">
      <c r="A23" s="1">
        <f t="shared" si="0"/>
        <v>20</v>
      </c>
      <c r="B23" s="7"/>
      <c r="C23" s="3"/>
      <c r="D23" s="3"/>
      <c r="E23" s="2"/>
      <c r="F23" s="3"/>
      <c r="G23" s="3"/>
      <c r="H23" s="2"/>
      <c r="I23" s="2"/>
      <c r="J23" s="2"/>
      <c r="K23" s="3"/>
      <c r="L23" s="3"/>
    </row>
    <row r="24" spans="1:12">
      <c r="A24" s="1"/>
      <c r="B24" s="7" t="s">
        <v>12</v>
      </c>
      <c r="C24" s="3">
        <f t="shared" ref="C24:L24" si="1">SUM(C4:C23)</f>
        <v>0</v>
      </c>
      <c r="D24" s="3" t="e">
        <f t="shared" si="1"/>
        <v>#REF!</v>
      </c>
      <c r="E24" s="2">
        <f t="shared" si="1"/>
        <v>0</v>
      </c>
      <c r="F24" s="3" t="e">
        <f t="shared" si="1"/>
        <v>#REF!</v>
      </c>
      <c r="G24" s="3">
        <f t="shared" si="1"/>
        <v>0</v>
      </c>
      <c r="H24" s="2" t="e">
        <f t="shared" si="1"/>
        <v>#REF!</v>
      </c>
      <c r="I24" s="2">
        <f t="shared" si="1"/>
        <v>0</v>
      </c>
      <c r="J24" s="2" t="e">
        <f t="shared" si="1"/>
        <v>#REF!</v>
      </c>
      <c r="K24" s="3">
        <f t="shared" si="1"/>
        <v>0</v>
      </c>
      <c r="L24" s="3" t="e">
        <f t="shared" si="1"/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opLeftCell="A7" workbookViewId="0">
      <selection activeCell="H25" sqref="H25"/>
    </sheetView>
  </sheetViews>
  <sheetFormatPr defaultRowHeight="12.75"/>
  <cols>
    <col min="1" max="1" width="4" customWidth="1"/>
    <col min="2" max="2" width="29.5703125" customWidth="1"/>
    <col min="3" max="3" width="11.85546875" customWidth="1"/>
    <col min="4" max="4" width="10.85546875" customWidth="1"/>
    <col min="5" max="5" width="10.7109375" customWidth="1"/>
    <col min="6" max="6" width="11.5703125" customWidth="1"/>
    <col min="7" max="7" width="11" customWidth="1"/>
    <col min="8" max="8" width="12.140625" customWidth="1"/>
    <col min="9" max="9" width="10.28515625" customWidth="1"/>
    <col min="10" max="10" width="11" customWidth="1"/>
    <col min="11" max="11" width="10.140625" bestFit="1" customWidth="1"/>
    <col min="12" max="12" width="10.28515625" customWidth="1"/>
    <col min="13" max="13" width="10.7109375" bestFit="1" customWidth="1"/>
  </cols>
  <sheetData>
    <row r="1" spans="1:13" ht="21" customHeight="1">
      <c r="B1" s="12" t="s">
        <v>18</v>
      </c>
      <c r="D1" t="s">
        <v>43</v>
      </c>
      <c r="E1" s="11"/>
      <c r="F1" s="12"/>
      <c r="G1" s="12"/>
    </row>
    <row r="2" spans="1:13" s="32" customFormat="1" ht="38.25">
      <c r="A2" s="31" t="s">
        <v>0</v>
      </c>
      <c r="B2" s="26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>
      <c r="A3" s="1">
        <v>1</v>
      </c>
      <c r="B3" s="34" t="str">
        <f>Январь!B3</f>
        <v>Содержание общ.имущ.дома</v>
      </c>
      <c r="C3" s="8">
        <f>9416.61+60402.06</f>
        <v>69818.67</v>
      </c>
      <c r="D3" s="18">
        <f>C3+Январь!D3</f>
        <v>132637.63</v>
      </c>
      <c r="E3" s="9">
        <f>9570.63+47278.72</f>
        <v>56849.35</v>
      </c>
      <c r="F3" s="18">
        <f>E3+Январь!F3</f>
        <v>105708.13</v>
      </c>
      <c r="G3" s="18">
        <f>E3-C3</f>
        <v>-12969.32</v>
      </c>
      <c r="H3" s="20">
        <f>F3-D3</f>
        <v>-26929.5</v>
      </c>
      <c r="I3" s="9"/>
      <c r="J3" s="20">
        <f>I3+Январь!J3</f>
        <v>0</v>
      </c>
      <c r="K3" s="8"/>
      <c r="L3" s="18">
        <f>K3+Январь!L3</f>
        <v>0</v>
      </c>
    </row>
    <row r="4" spans="1:13">
      <c r="A4" s="1">
        <f>A3+1</f>
        <v>2</v>
      </c>
      <c r="B4" s="34" t="str">
        <f>Январь!B4</f>
        <v>Отопление</v>
      </c>
      <c r="C4" s="8">
        <f>41477.09+266772.79</f>
        <v>308249.88</v>
      </c>
      <c r="D4" s="18">
        <f>C4+Январь!D4</f>
        <v>557598.68000000005</v>
      </c>
      <c r="E4" s="9">
        <f>165848.64+21581.94</f>
        <v>187430.58000000002</v>
      </c>
      <c r="F4" s="18">
        <f>E4+Январь!F4</f>
        <v>330660.21000000002</v>
      </c>
      <c r="G4" s="18">
        <f t="shared" ref="G4:H22" si="0">E4-C4</f>
        <v>-120819.29999999999</v>
      </c>
      <c r="H4" s="20">
        <f t="shared" si="0"/>
        <v>-226938.47000000003</v>
      </c>
      <c r="I4" s="9"/>
      <c r="J4" s="20">
        <f>I4+Январь!J4</f>
        <v>0</v>
      </c>
      <c r="K4" s="8"/>
      <c r="L4" s="18">
        <f>K4+Январь!L4</f>
        <v>0</v>
      </c>
      <c r="M4" s="25">
        <f>L4-J4</f>
        <v>0</v>
      </c>
    </row>
    <row r="5" spans="1:13">
      <c r="A5" s="1">
        <f t="shared" ref="A5:A22" si="1">A4+1</f>
        <v>3</v>
      </c>
      <c r="B5" s="34" t="str">
        <f>Январь!B5</f>
        <v>Горячее водоснабжение</v>
      </c>
      <c r="C5" s="8">
        <f>22754.72+118865.32</f>
        <v>141620.04</v>
      </c>
      <c r="D5" s="18">
        <f>C5+Январь!D5</f>
        <v>263960.25</v>
      </c>
      <c r="E5" s="9">
        <f>85278.96+20691.93</f>
        <v>105970.89000000001</v>
      </c>
      <c r="F5" s="18">
        <f>E5+Январь!F5</f>
        <v>202052.53000000003</v>
      </c>
      <c r="G5" s="18">
        <f t="shared" si="0"/>
        <v>-35649.149999999994</v>
      </c>
      <c r="H5" s="20">
        <f t="shared" si="0"/>
        <v>-61907.719999999972</v>
      </c>
      <c r="I5" s="9"/>
      <c r="J5" s="20">
        <f>I5+Январь!J5</f>
        <v>0</v>
      </c>
      <c r="K5" s="8"/>
      <c r="L5" s="18">
        <f>K5+Январь!L5</f>
        <v>0</v>
      </c>
    </row>
    <row r="6" spans="1:13">
      <c r="A6" s="1">
        <f t="shared" si="1"/>
        <v>4</v>
      </c>
      <c r="B6" s="34" t="str">
        <f>Январь!B6</f>
        <v>Сод.и ремонт АППЗ</v>
      </c>
      <c r="C6" s="8">
        <f>348.15+2239.41</f>
        <v>2587.56</v>
      </c>
      <c r="D6" s="18">
        <f>C6+Январь!D6</f>
        <v>4889.6399999999994</v>
      </c>
      <c r="E6" s="9">
        <f>1751.83+378.42</f>
        <v>2130.25</v>
      </c>
      <c r="F6" s="18">
        <f>E6+Январь!F6</f>
        <v>3953.4</v>
      </c>
      <c r="G6" s="18">
        <f t="shared" si="0"/>
        <v>-457.30999999999995</v>
      </c>
      <c r="H6" s="20">
        <f t="shared" si="0"/>
        <v>-936.23999999999933</v>
      </c>
      <c r="I6" s="9"/>
      <c r="J6" s="20">
        <f>I6+Январь!J6</f>
        <v>0</v>
      </c>
      <c r="K6" s="8"/>
      <c r="L6" s="18">
        <f>K6+Январь!L6</f>
        <v>0</v>
      </c>
    </row>
    <row r="7" spans="1:13">
      <c r="A7" s="1">
        <f t="shared" si="1"/>
        <v>5</v>
      </c>
      <c r="B7" s="35" t="str">
        <f>Январь!B7</f>
        <v>Сод.и ремонт лифтов</v>
      </c>
      <c r="C7" s="8">
        <f>16897.32+2627.1</f>
        <v>19524.419999999998</v>
      </c>
      <c r="D7" s="18">
        <f>C7+Январь!D7</f>
        <v>37113.379999999997</v>
      </c>
      <c r="E7" s="9">
        <f>12609.34+2603.8</f>
        <v>15213.14</v>
      </c>
      <c r="F7" s="18">
        <f>E7+Январь!F7</f>
        <v>28727.73</v>
      </c>
      <c r="G7" s="18">
        <f t="shared" si="0"/>
        <v>-4311.2799999999988</v>
      </c>
      <c r="H7" s="20">
        <f t="shared" si="0"/>
        <v>-8385.6499999999978</v>
      </c>
      <c r="I7" s="9"/>
      <c r="J7" s="20">
        <f>I7+Январь!J7</f>
        <v>0</v>
      </c>
      <c r="K7" s="8"/>
      <c r="L7" s="18">
        <f>K7+Январь!L7</f>
        <v>0</v>
      </c>
    </row>
    <row r="8" spans="1:13">
      <c r="A8" s="1">
        <f t="shared" si="1"/>
        <v>6</v>
      </c>
      <c r="B8" s="34" t="str">
        <f>Январь!B8</f>
        <v>Очистка мусоропроводов</v>
      </c>
      <c r="C8" s="8">
        <f>1123.63+7190.58</f>
        <v>8314.2099999999991</v>
      </c>
      <c r="D8" s="18">
        <f>C8+Январь!D8</f>
        <v>15757.169999999998</v>
      </c>
      <c r="E8" s="9">
        <f>5651.02+1177.35</f>
        <v>6828.3700000000008</v>
      </c>
      <c r="F8" s="18">
        <f>E8+Январь!F8</f>
        <v>12649.02</v>
      </c>
      <c r="G8" s="18">
        <f t="shared" si="0"/>
        <v>-1485.8399999999983</v>
      </c>
      <c r="H8" s="20">
        <f t="shared" si="0"/>
        <v>-3108.1499999999978</v>
      </c>
      <c r="I8" s="9"/>
      <c r="J8" s="20">
        <f>I8+Январь!J8</f>
        <v>0</v>
      </c>
      <c r="K8" s="8"/>
      <c r="L8" s="18">
        <f>K8+Январь!L8</f>
        <v>0</v>
      </c>
    </row>
    <row r="9" spans="1:13">
      <c r="A9" s="1">
        <f t="shared" si="1"/>
        <v>7</v>
      </c>
      <c r="B9" s="34" t="str">
        <f>Январь!B9</f>
        <v>Уборка и сан.очистка зем.уч.</v>
      </c>
      <c r="C9" s="8">
        <f>9313.97+1448.11</f>
        <v>10762.08</v>
      </c>
      <c r="D9" s="18">
        <f>C9+Январь!D9</f>
        <v>20516.019999999997</v>
      </c>
      <c r="E9" s="9">
        <f>7272.54+1405.99</f>
        <v>8678.5300000000007</v>
      </c>
      <c r="F9" s="18">
        <f>E9+Январь!F9</f>
        <v>16143.84</v>
      </c>
      <c r="G9" s="18">
        <f t="shared" si="0"/>
        <v>-2083.5499999999993</v>
      </c>
      <c r="H9" s="20">
        <f t="shared" si="0"/>
        <v>-4372.1799999999967</v>
      </c>
      <c r="I9" s="9"/>
      <c r="J9" s="20">
        <f>I9+Январь!J9</f>
        <v>0</v>
      </c>
      <c r="K9" s="8"/>
      <c r="L9" s="18">
        <f>K9+Январь!L9</f>
        <v>0</v>
      </c>
    </row>
    <row r="10" spans="1:13">
      <c r="A10" s="1">
        <f t="shared" si="1"/>
        <v>8</v>
      </c>
      <c r="B10" s="34" t="str">
        <f>Январь!B10</f>
        <v>Электроснабжение(инд.потр)</v>
      </c>
      <c r="C10" s="8">
        <f>84797.68+14644.8</f>
        <v>99442.48</v>
      </c>
      <c r="D10" s="18">
        <f>C10+Январь!D10</f>
        <v>182715.84999999998</v>
      </c>
      <c r="E10" s="9">
        <f>65334.81+13349.02</f>
        <v>78683.83</v>
      </c>
      <c r="F10" s="18">
        <f>E10+Январь!F10</f>
        <v>146410.45000000001</v>
      </c>
      <c r="G10" s="18">
        <f t="shared" si="0"/>
        <v>-20758.649999999994</v>
      </c>
      <c r="H10" s="20">
        <f t="shared" si="0"/>
        <v>-36305.399999999965</v>
      </c>
      <c r="I10" s="9"/>
      <c r="J10" s="20">
        <f>I10+Январь!J10</f>
        <v>0</v>
      </c>
      <c r="K10" s="8"/>
      <c r="L10" s="18">
        <f>K10+Январь!L10</f>
        <v>0</v>
      </c>
    </row>
    <row r="11" spans="1:13">
      <c r="A11" s="1">
        <f t="shared" si="1"/>
        <v>9</v>
      </c>
      <c r="B11" s="34" t="str">
        <f>Январь!B11</f>
        <v>Холодная вода</v>
      </c>
      <c r="C11" s="8">
        <f>46736.67+8840.59</f>
        <v>55577.259999999995</v>
      </c>
      <c r="D11" s="18">
        <f>C11+Январь!D11</f>
        <v>104118.95</v>
      </c>
      <c r="E11" s="9">
        <f>34464.27+8011.61</f>
        <v>42475.88</v>
      </c>
      <c r="F11" s="18">
        <f>E11+Январь!F11</f>
        <v>80332.39</v>
      </c>
      <c r="G11" s="18">
        <f t="shared" si="0"/>
        <v>-13101.379999999997</v>
      </c>
      <c r="H11" s="20">
        <f t="shared" si="0"/>
        <v>-23786.559999999998</v>
      </c>
      <c r="I11" s="9"/>
      <c r="J11" s="20">
        <f>I11+Январь!J11</f>
        <v>0</v>
      </c>
      <c r="K11" s="8"/>
      <c r="L11" s="18">
        <f>K11+Январь!L11</f>
        <v>0</v>
      </c>
    </row>
    <row r="12" spans="1:13">
      <c r="A12" s="1">
        <f t="shared" si="1"/>
        <v>10</v>
      </c>
      <c r="B12" s="34" t="str">
        <f>Январь!B12</f>
        <v>Канализирование х.воды</v>
      </c>
      <c r="C12" s="8">
        <v>0</v>
      </c>
      <c r="D12" s="18">
        <f>C12+Январь!D12</f>
        <v>0</v>
      </c>
      <c r="E12" s="9">
        <v>0</v>
      </c>
      <c r="F12" s="18">
        <f>E12+Январь!F12</f>
        <v>0</v>
      </c>
      <c r="G12" s="18">
        <f t="shared" si="0"/>
        <v>0</v>
      </c>
      <c r="H12" s="20">
        <f t="shared" si="0"/>
        <v>0</v>
      </c>
      <c r="I12" s="9"/>
      <c r="J12" s="20">
        <f>I12+Январь!J12</f>
        <v>0</v>
      </c>
      <c r="K12" s="8"/>
      <c r="L12" s="18">
        <f>K12+Январь!L12</f>
        <v>0</v>
      </c>
    </row>
    <row r="13" spans="1:13">
      <c r="A13" s="1">
        <f t="shared" si="1"/>
        <v>11</v>
      </c>
      <c r="B13" s="34" t="str">
        <f>Январь!B13</f>
        <v>Канализирование г.воды</v>
      </c>
      <c r="C13" s="8">
        <v>0</v>
      </c>
      <c r="D13" s="18">
        <f>C13+Январь!D13</f>
        <v>0</v>
      </c>
      <c r="E13" s="9">
        <v>0</v>
      </c>
      <c r="F13" s="18">
        <f>E13+Январь!F13</f>
        <v>0</v>
      </c>
      <c r="G13" s="18">
        <f t="shared" si="0"/>
        <v>0</v>
      </c>
      <c r="H13" s="20">
        <f t="shared" si="0"/>
        <v>0</v>
      </c>
      <c r="I13" s="9"/>
      <c r="J13" s="20">
        <f>I13+Январь!J13</f>
        <v>0</v>
      </c>
      <c r="K13" s="8"/>
      <c r="L13" s="18">
        <f>K13+Январь!L13</f>
        <v>0</v>
      </c>
    </row>
    <row r="14" spans="1:13">
      <c r="A14" s="1">
        <f t="shared" si="1"/>
        <v>12</v>
      </c>
      <c r="B14" s="34" t="str">
        <f>Январь!B14</f>
        <v>Тек.ремонт общ.имущ.дома</v>
      </c>
      <c r="C14" s="8">
        <f>31606.19+4914.03</f>
        <v>36520.22</v>
      </c>
      <c r="D14" s="18">
        <f>C14+Январь!D14</f>
        <v>69329.320000000007</v>
      </c>
      <c r="E14" s="9">
        <f>24768.11+5073.74</f>
        <v>29841.85</v>
      </c>
      <c r="F14" s="18">
        <f>E14+Январь!F14</f>
        <v>56114.11</v>
      </c>
      <c r="G14" s="18">
        <f t="shared" si="0"/>
        <v>-6678.3700000000026</v>
      </c>
      <c r="H14" s="20">
        <f t="shared" si="0"/>
        <v>-13215.210000000006</v>
      </c>
      <c r="I14" s="9"/>
      <c r="J14" s="20">
        <f>I14+Январь!J14</f>
        <v>0</v>
      </c>
      <c r="K14" s="8"/>
      <c r="L14" s="18">
        <f>K14+Январь!L14</f>
        <v>0</v>
      </c>
    </row>
    <row r="15" spans="1:13">
      <c r="A15" s="1">
        <f t="shared" si="1"/>
        <v>13</v>
      </c>
      <c r="B15" s="34" t="str">
        <f>Январь!B15</f>
        <v>Управление многокварт.домом</v>
      </c>
      <c r="C15" s="8">
        <f>13080.18+2033.69</f>
        <v>15113.87</v>
      </c>
      <c r="D15" s="18">
        <f>C15+Январь!D15</f>
        <v>29030.32</v>
      </c>
      <c r="E15" s="9">
        <f>10214.33+1860.8</f>
        <v>12075.13</v>
      </c>
      <c r="F15" s="18">
        <f>E15+Январь!F15</f>
        <v>22395.66</v>
      </c>
      <c r="G15" s="18">
        <f t="shared" si="0"/>
        <v>-3038.7400000000016</v>
      </c>
      <c r="H15" s="20">
        <f t="shared" si="0"/>
        <v>-6634.66</v>
      </c>
      <c r="I15" s="9"/>
      <c r="J15" s="20">
        <f>I15+Январь!J15</f>
        <v>0</v>
      </c>
      <c r="K15" s="8"/>
      <c r="L15" s="18">
        <f>K15+Январь!L15</f>
        <v>0</v>
      </c>
    </row>
    <row r="16" spans="1:13">
      <c r="A16" s="1">
        <f t="shared" si="1"/>
        <v>14</v>
      </c>
      <c r="B16" s="34" t="str">
        <f>Январь!B16</f>
        <v>Водоотведение (кв)</v>
      </c>
      <c r="C16" s="8">
        <f>79769.62+15164.17</f>
        <v>94933.79</v>
      </c>
      <c r="D16" s="18">
        <f>C16+Январь!D16</f>
        <v>177234.22999999998</v>
      </c>
      <c r="E16" s="9">
        <f>58631.15+13568.57</f>
        <v>72199.72</v>
      </c>
      <c r="F16" s="18">
        <f>E16+Январь!F16</f>
        <v>137850.85</v>
      </c>
      <c r="G16" s="18">
        <f t="shared" si="0"/>
        <v>-22734.069999999992</v>
      </c>
      <c r="H16" s="20">
        <f t="shared" si="0"/>
        <v>-39383.379999999976</v>
      </c>
      <c r="I16" s="9"/>
      <c r="J16" s="20">
        <f>I16+Январь!J16</f>
        <v>0</v>
      </c>
      <c r="K16" s="8"/>
      <c r="L16" s="18">
        <f>K16+Январь!L16</f>
        <v>0</v>
      </c>
    </row>
    <row r="17" spans="1:12">
      <c r="A17" s="1">
        <f t="shared" si="1"/>
        <v>15</v>
      </c>
      <c r="B17" s="34" t="str">
        <f>Январь!B17</f>
        <v>Эксплуатация общедомовых ПУ</v>
      </c>
      <c r="C17" s="8">
        <f>3359.14+522.27</f>
        <v>3881.41</v>
      </c>
      <c r="D17" s="18">
        <f>C17+Январь!D17</f>
        <v>7331.08</v>
      </c>
      <c r="E17" s="9">
        <f>2626.09+565.01</f>
        <v>3191.1000000000004</v>
      </c>
      <c r="F17" s="18">
        <f>E17+Январь!F17</f>
        <v>5976.58</v>
      </c>
      <c r="G17" s="18">
        <f t="shared" si="0"/>
        <v>-690.30999999999949</v>
      </c>
      <c r="H17" s="20">
        <f t="shared" si="0"/>
        <v>-1354.5</v>
      </c>
      <c r="I17" s="9"/>
      <c r="J17" s="20">
        <f>I17+Январь!J17</f>
        <v>0</v>
      </c>
      <c r="K17" s="8"/>
      <c r="L17" s="18">
        <f>K17+Январь!L17</f>
        <v>0</v>
      </c>
    </row>
    <row r="18" spans="1:12">
      <c r="A18" s="1">
        <f t="shared" si="1"/>
        <v>16</v>
      </c>
      <c r="B18" s="34" t="str">
        <f>Январь!B18</f>
        <v>Хол.водоснабжение(о/д нужды)</v>
      </c>
      <c r="C18" s="8">
        <f>1511.55+234.63</f>
        <v>1746.1799999999998</v>
      </c>
      <c r="D18" s="18">
        <f>C18+Январь!D18</f>
        <v>2982.0199999999995</v>
      </c>
      <c r="E18" s="9">
        <f>1556.26+760.89</f>
        <v>2317.15</v>
      </c>
      <c r="F18" s="18">
        <f>E18+Январь!F18</f>
        <v>3486.42</v>
      </c>
      <c r="G18" s="18">
        <f t="shared" si="0"/>
        <v>570.97000000000025</v>
      </c>
      <c r="H18" s="20">
        <f t="shared" si="0"/>
        <v>504.40000000000055</v>
      </c>
      <c r="I18" s="9"/>
      <c r="J18" s="20">
        <f>I18+Январь!J18</f>
        <v>0</v>
      </c>
      <c r="K18" s="8"/>
      <c r="L18" s="18">
        <f>K18+Январь!L18</f>
        <v>0</v>
      </c>
    </row>
    <row r="19" spans="1:12">
      <c r="A19" s="1">
        <f t="shared" si="1"/>
        <v>17</v>
      </c>
      <c r="B19" s="34" t="str">
        <f>Январь!B19</f>
        <v>Водоотведение(о/д нужды)</v>
      </c>
      <c r="C19" s="8">
        <f>0</f>
        <v>0</v>
      </c>
      <c r="D19" s="18">
        <f>C19+Январь!D19</f>
        <v>0</v>
      </c>
      <c r="E19" s="9">
        <v>135.74</v>
      </c>
      <c r="F19" s="18">
        <f>E19+Январь!F19</f>
        <v>135.74</v>
      </c>
      <c r="G19" s="18">
        <f t="shared" si="0"/>
        <v>135.74</v>
      </c>
      <c r="H19" s="20">
        <f t="shared" si="0"/>
        <v>135.74</v>
      </c>
      <c r="I19" s="9"/>
      <c r="J19" s="20">
        <f>I19+Январь!J19</f>
        <v>0</v>
      </c>
      <c r="K19" s="8"/>
      <c r="L19" s="18">
        <f>K19+Январь!L19</f>
        <v>0</v>
      </c>
    </row>
    <row r="20" spans="1:12">
      <c r="A20" s="1">
        <f t="shared" si="1"/>
        <v>18</v>
      </c>
      <c r="B20" s="34" t="str">
        <f>Январь!B20</f>
        <v>Отопление (о/д нужды)</v>
      </c>
      <c r="C20" s="8">
        <v>0</v>
      </c>
      <c r="D20" s="18">
        <f>C20+Январь!D20</f>
        <v>0</v>
      </c>
      <c r="E20" s="9">
        <v>643.94000000000005</v>
      </c>
      <c r="F20" s="18">
        <f>E20+Январь!F20</f>
        <v>643.94000000000005</v>
      </c>
      <c r="G20" s="18">
        <f t="shared" si="0"/>
        <v>643.94000000000005</v>
      </c>
      <c r="H20" s="20">
        <f t="shared" si="0"/>
        <v>643.94000000000005</v>
      </c>
      <c r="I20" s="9"/>
      <c r="J20" s="20">
        <f>I20+Январь!J20</f>
        <v>0</v>
      </c>
      <c r="K20" s="8"/>
      <c r="L20" s="18">
        <f>K20+Январь!L20</f>
        <v>0</v>
      </c>
    </row>
    <row r="21" spans="1:12">
      <c r="A21" s="1">
        <f t="shared" si="1"/>
        <v>19</v>
      </c>
      <c r="B21" s="34" t="str">
        <f>Январь!B21</f>
        <v>Электроснабжение(оющед.нужд)</v>
      </c>
      <c r="C21" s="8">
        <f>39291.43+6108.86+5120.4</f>
        <v>50520.69</v>
      </c>
      <c r="D21" s="18">
        <f>C21+Январь!D21</f>
        <v>93220.39</v>
      </c>
      <c r="E21" s="9">
        <f>32703.99+6331.46</f>
        <v>39035.450000000004</v>
      </c>
      <c r="F21" s="18">
        <f>E21+Январь!F21</f>
        <v>70423.260000000009</v>
      </c>
      <c r="G21" s="18">
        <f t="shared" si="0"/>
        <v>-11485.239999999998</v>
      </c>
      <c r="H21" s="20">
        <f t="shared" si="0"/>
        <v>-22797.12999999999</v>
      </c>
      <c r="I21" s="9"/>
      <c r="J21" s="20">
        <f>I21+Январь!J21</f>
        <v>0</v>
      </c>
      <c r="K21" s="8"/>
      <c r="L21" s="18">
        <f>K21+Январь!L21</f>
        <v>0</v>
      </c>
    </row>
    <row r="22" spans="1:12">
      <c r="A22" s="1">
        <f t="shared" si="1"/>
        <v>20</v>
      </c>
      <c r="B22" s="34" t="str">
        <f>Январь!B22</f>
        <v>Горячее водоснабжение (о/д)</v>
      </c>
      <c r="C22" s="8">
        <f>3356.07+518.72</f>
        <v>3874.79</v>
      </c>
      <c r="D22" s="18">
        <f>C22+Январь!D22</f>
        <v>7270.46</v>
      </c>
      <c r="E22" s="9">
        <f>2647.23+757.07</f>
        <v>3404.3</v>
      </c>
      <c r="F22" s="18">
        <f>E22+Январь!F22</f>
        <v>6004.13</v>
      </c>
      <c r="G22" s="18">
        <f t="shared" si="0"/>
        <v>-470.48999999999978</v>
      </c>
      <c r="H22" s="20">
        <f t="shared" si="0"/>
        <v>-1266.33</v>
      </c>
      <c r="I22" s="9"/>
      <c r="J22" s="20">
        <f>I22+Январь!J22</f>
        <v>0</v>
      </c>
      <c r="K22" s="8"/>
      <c r="L22" s="18">
        <f>K22+Январь!L22</f>
        <v>0</v>
      </c>
    </row>
    <row r="23" spans="1:12">
      <c r="A23" s="22"/>
      <c r="B23" s="21" t="s">
        <v>12</v>
      </c>
      <c r="C23" s="18">
        <f t="shared" ref="C23:L23" si="2">SUM(C3:C22)</f>
        <v>922487.55</v>
      </c>
      <c r="D23" s="18">
        <f t="shared" si="2"/>
        <v>1705705.3900000001</v>
      </c>
      <c r="E23" s="20">
        <f t="shared" si="2"/>
        <v>667105.20000000007</v>
      </c>
      <c r="F23" s="18">
        <f t="shared" si="2"/>
        <v>1229668.3899999999</v>
      </c>
      <c r="G23" s="18">
        <f t="shared" si="2"/>
        <v>-255382.34999999995</v>
      </c>
      <c r="H23" s="20">
        <f t="shared" si="2"/>
        <v>-476037</v>
      </c>
      <c r="I23" s="20">
        <f t="shared" si="2"/>
        <v>0</v>
      </c>
      <c r="J23" s="20">
        <f t="shared" si="2"/>
        <v>0</v>
      </c>
      <c r="K23" s="18">
        <f t="shared" si="2"/>
        <v>0</v>
      </c>
      <c r="L23" s="18">
        <f t="shared" si="2"/>
        <v>0</v>
      </c>
    </row>
    <row r="25" spans="1:12">
      <c r="B25" s="62" t="s">
        <v>36</v>
      </c>
      <c r="C25" s="43">
        <f t="shared" ref="C25:H25" si="3">C3+C6+C7+C8+C9+C14+C15+C17</f>
        <v>166522.43999999997</v>
      </c>
      <c r="D25" s="43">
        <f t="shared" si="3"/>
        <v>316604.56000000006</v>
      </c>
      <c r="E25" s="43">
        <f t="shared" si="3"/>
        <v>134807.72</v>
      </c>
      <c r="F25" s="43">
        <f t="shared" si="3"/>
        <v>251668.46999999997</v>
      </c>
      <c r="G25" s="43">
        <f t="shared" si="3"/>
        <v>-31714.719999999994</v>
      </c>
      <c r="H25" s="43">
        <f t="shared" si="3"/>
        <v>-64936.09</v>
      </c>
    </row>
    <row r="28" spans="1:12">
      <c r="B28" s="1" t="s">
        <v>38</v>
      </c>
      <c r="C28" s="9">
        <f>C11+C12+C13+C16+C18+C19</f>
        <v>152257.22999999998</v>
      </c>
      <c r="D28" s="9">
        <f t="shared" ref="D28:J28" si="4">D11+D12+D13+D16+D18+D19</f>
        <v>284335.2</v>
      </c>
      <c r="E28" s="9">
        <f t="shared" si="4"/>
        <v>117128.49</v>
      </c>
      <c r="F28" s="9">
        <f t="shared" si="4"/>
        <v>221805.4</v>
      </c>
      <c r="G28" s="9">
        <f t="shared" si="4"/>
        <v>-35128.739999999991</v>
      </c>
      <c r="H28" s="9">
        <f t="shared" si="4"/>
        <v>-62529.799999999974</v>
      </c>
      <c r="I28" s="9">
        <f t="shared" si="4"/>
        <v>0</v>
      </c>
      <c r="J28" s="9">
        <f t="shared" si="4"/>
        <v>0</v>
      </c>
    </row>
    <row r="29" spans="1:12">
      <c r="B29" s="1" t="s">
        <v>39</v>
      </c>
      <c r="C29" s="9">
        <f>C10+C21</f>
        <v>149963.16999999998</v>
      </c>
      <c r="D29" s="9">
        <f t="shared" ref="D29:J29" si="5">D10+D21</f>
        <v>275936.24</v>
      </c>
      <c r="E29" s="9">
        <f t="shared" si="5"/>
        <v>117719.28</v>
      </c>
      <c r="F29" s="9">
        <f t="shared" si="5"/>
        <v>216833.71000000002</v>
      </c>
      <c r="G29" s="9">
        <f t="shared" si="5"/>
        <v>-32243.889999999992</v>
      </c>
      <c r="H29" s="9">
        <f t="shared" si="5"/>
        <v>-59102.529999999955</v>
      </c>
      <c r="I29" s="9">
        <f t="shared" si="5"/>
        <v>0</v>
      </c>
      <c r="J29" s="9">
        <f t="shared" si="5"/>
        <v>0</v>
      </c>
    </row>
    <row r="30" spans="1:12">
      <c r="B30" s="1" t="s">
        <v>40</v>
      </c>
      <c r="C30" s="9">
        <f>C4+C5+C20+C22</f>
        <v>453744.71</v>
      </c>
      <c r="D30" s="9">
        <f t="shared" ref="D30:J30" si="6">D4+D5+D20+D22</f>
        <v>828829.39</v>
      </c>
      <c r="E30" s="9">
        <f t="shared" si="6"/>
        <v>297449.71000000002</v>
      </c>
      <c r="F30" s="9">
        <f t="shared" si="6"/>
        <v>539360.80999999994</v>
      </c>
      <c r="G30" s="9">
        <f t="shared" si="6"/>
        <v>-156294.99999999997</v>
      </c>
      <c r="H30" s="9">
        <f t="shared" si="6"/>
        <v>-289468.58</v>
      </c>
      <c r="I30" s="9">
        <f t="shared" si="6"/>
        <v>0</v>
      </c>
      <c r="J30" s="9">
        <f t="shared" si="6"/>
        <v>0</v>
      </c>
    </row>
    <row r="33" spans="3:5">
      <c r="C33">
        <f>790310.38+132177.17</f>
        <v>922487.55</v>
      </c>
      <c r="E33">
        <f>558637.29+1085467.91</f>
        <v>1644105.2</v>
      </c>
    </row>
  </sheetData>
  <phoneticPr fontId="0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opLeftCell="A4" workbookViewId="0">
      <selection activeCell="B25" sqref="B25:H25"/>
    </sheetView>
  </sheetViews>
  <sheetFormatPr defaultRowHeight="12.75"/>
  <cols>
    <col min="1" max="1" width="3" customWidth="1"/>
    <col min="2" max="2" width="32.85546875" style="36" customWidth="1"/>
    <col min="3" max="3" width="11.140625" customWidth="1"/>
    <col min="4" max="4" width="11.5703125" customWidth="1"/>
    <col min="5" max="6" width="10.85546875" customWidth="1"/>
    <col min="7" max="7" width="11.7109375" customWidth="1"/>
    <col min="8" max="8" width="10.5703125" customWidth="1"/>
    <col min="9" max="9" width="11" customWidth="1"/>
    <col min="10" max="10" width="12" customWidth="1"/>
    <col min="11" max="11" width="11.85546875" customWidth="1"/>
    <col min="12" max="12" width="11" customWidth="1"/>
    <col min="13" max="13" width="10.7109375" bestFit="1" customWidth="1"/>
  </cols>
  <sheetData>
    <row r="1" spans="1:13" ht="24" customHeight="1">
      <c r="B1" s="12" t="s">
        <v>18</v>
      </c>
      <c r="D1" t="s">
        <v>44</v>
      </c>
      <c r="F1" s="11"/>
      <c r="H1" s="12"/>
    </row>
    <row r="2" spans="1:13" s="32" customFormat="1" ht="38.25">
      <c r="A2" s="31" t="s">
        <v>0</v>
      </c>
      <c r="B2" s="37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>
      <c r="A3" s="1">
        <v>1</v>
      </c>
      <c r="B3" s="34" t="str">
        <f>февраль!B3</f>
        <v>Содержание общ.имущ.дома</v>
      </c>
      <c r="C3" s="8">
        <f>60402.05+1170.35</f>
        <v>61572.4</v>
      </c>
      <c r="D3" s="18">
        <f>C3+февраль!D3</f>
        <v>194210.03</v>
      </c>
      <c r="E3" s="9">
        <f>54145.79+8854.09</f>
        <v>62999.880000000005</v>
      </c>
      <c r="F3" s="18">
        <f>E3+февраль!F3</f>
        <v>168708.01</v>
      </c>
      <c r="G3" s="18">
        <f>E3-C3</f>
        <v>1427.4800000000032</v>
      </c>
      <c r="H3" s="20">
        <f>F3-D3</f>
        <v>-25502.01999999999</v>
      </c>
      <c r="I3" s="9"/>
      <c r="J3" s="20">
        <f>I3+февраль!J3</f>
        <v>0</v>
      </c>
      <c r="K3" s="8"/>
      <c r="L3" s="18">
        <f>K3+февраль!L3</f>
        <v>0</v>
      </c>
    </row>
    <row r="4" spans="1:13">
      <c r="A4" s="1">
        <f>A3+1</f>
        <v>2</v>
      </c>
      <c r="B4" s="34" t="str">
        <f>февраль!B4</f>
        <v>Отопление</v>
      </c>
      <c r="C4" s="8">
        <f>245215.34+23503.22</f>
        <v>268718.56</v>
      </c>
      <c r="D4" s="18">
        <f>C4+февраль!D4</f>
        <v>826317.24</v>
      </c>
      <c r="E4" s="9">
        <f>216692.83+28803.69</f>
        <v>245496.52</v>
      </c>
      <c r="F4" s="18">
        <f>E4+февраль!F4</f>
        <v>576156.73</v>
      </c>
      <c r="G4" s="18">
        <f t="shared" ref="G4:H22" si="0">E4-C4</f>
        <v>-23222.040000000008</v>
      </c>
      <c r="H4" s="20">
        <f t="shared" si="0"/>
        <v>-250160.51</v>
      </c>
      <c r="I4" s="9"/>
      <c r="J4" s="20">
        <f>I4+февраль!J4</f>
        <v>0</v>
      </c>
      <c r="K4" s="8"/>
      <c r="L4" s="18">
        <f>K4+февраль!L4</f>
        <v>0</v>
      </c>
      <c r="M4" s="25"/>
    </row>
    <row r="5" spans="1:13">
      <c r="A5" s="1">
        <f t="shared" ref="A5:A22" si="1">A4+1</f>
        <v>3</v>
      </c>
      <c r="B5" s="34" t="str">
        <f>февраль!B5</f>
        <v>Горячее водоснабжение</v>
      </c>
      <c r="C5" s="8">
        <f>113770.79+10832.9</f>
        <v>124603.68999999999</v>
      </c>
      <c r="D5" s="18">
        <f>C5+февраль!D5</f>
        <v>388563.94</v>
      </c>
      <c r="E5" s="9">
        <f>98021.27+17044.6</f>
        <v>115065.87</v>
      </c>
      <c r="F5" s="18">
        <f>E5+февраль!F5</f>
        <v>317118.40000000002</v>
      </c>
      <c r="G5" s="18">
        <f t="shared" si="0"/>
        <v>-9537.8199999999924</v>
      </c>
      <c r="H5" s="20">
        <f t="shared" si="0"/>
        <v>-71445.539999999979</v>
      </c>
      <c r="I5" s="9"/>
      <c r="J5" s="20">
        <f>I5+февраль!J5</f>
        <v>0</v>
      </c>
      <c r="K5" s="8"/>
      <c r="L5" s="18">
        <f>K5+февраль!L5</f>
        <v>0</v>
      </c>
    </row>
    <row r="6" spans="1:13">
      <c r="A6" s="1">
        <f t="shared" si="1"/>
        <v>4</v>
      </c>
      <c r="B6" s="34" t="str">
        <f>февраль!B6</f>
        <v>Сод.и ремонт АППЗ</v>
      </c>
      <c r="C6" s="8">
        <f>2239.41+-20.83</f>
        <v>2218.58</v>
      </c>
      <c r="D6" s="18">
        <f>C6+февраль!D6</f>
        <v>7108.2199999999993</v>
      </c>
      <c r="E6" s="9">
        <f>2004.54+344.1</f>
        <v>2348.64</v>
      </c>
      <c r="F6" s="18">
        <f>E6+февраль!F6</f>
        <v>6302.04</v>
      </c>
      <c r="G6" s="18">
        <f t="shared" si="0"/>
        <v>130.05999999999995</v>
      </c>
      <c r="H6" s="20">
        <f t="shared" si="0"/>
        <v>-806.17999999999938</v>
      </c>
      <c r="I6" s="9"/>
      <c r="J6" s="20">
        <f>I6+февраль!J6</f>
        <v>0</v>
      </c>
      <c r="K6" s="8"/>
      <c r="L6" s="18">
        <f>K6+февраль!L6</f>
        <v>0</v>
      </c>
    </row>
    <row r="7" spans="1:13">
      <c r="A7" s="1">
        <f t="shared" si="1"/>
        <v>5</v>
      </c>
      <c r="B7" s="35" t="str">
        <f>февраль!B7</f>
        <v>Сод.и ремонт лифтов</v>
      </c>
      <c r="C7" s="8">
        <f>16897.32+128.99</f>
        <v>17026.310000000001</v>
      </c>
      <c r="D7" s="18">
        <f>C7+февраль!D7</f>
        <v>54139.69</v>
      </c>
      <c r="E7" s="9">
        <f>14927.37+2418.49</f>
        <v>17345.86</v>
      </c>
      <c r="F7" s="18">
        <f>E7+февраль!F7</f>
        <v>46073.59</v>
      </c>
      <c r="G7" s="18">
        <f t="shared" si="0"/>
        <v>319.54999999999927</v>
      </c>
      <c r="H7" s="20">
        <f t="shared" si="0"/>
        <v>-8066.1000000000058</v>
      </c>
      <c r="I7" s="9"/>
      <c r="J7" s="20">
        <f>I7+февраль!J7</f>
        <v>0</v>
      </c>
      <c r="K7" s="8"/>
      <c r="L7" s="18">
        <f>K7+февраль!L7</f>
        <v>0</v>
      </c>
    </row>
    <row r="8" spans="1:13">
      <c r="A8" s="1">
        <f t="shared" si="1"/>
        <v>6</v>
      </c>
      <c r="B8" s="34" t="str">
        <f>февраль!B8</f>
        <v>Очистка мусоропроводов</v>
      </c>
      <c r="C8" s="8">
        <f>7190.58+161.03</f>
        <v>7351.61</v>
      </c>
      <c r="D8" s="18">
        <f>C8+февраль!D8</f>
        <v>23108.78</v>
      </c>
      <c r="E8" s="9">
        <f>6466.19+1089.92</f>
        <v>7556.11</v>
      </c>
      <c r="F8" s="18">
        <f>E8+февраль!F8</f>
        <v>20205.13</v>
      </c>
      <c r="G8" s="18">
        <f t="shared" si="0"/>
        <v>204.5</v>
      </c>
      <c r="H8" s="20">
        <f t="shared" si="0"/>
        <v>-2903.6499999999978</v>
      </c>
      <c r="I8" s="9"/>
      <c r="J8" s="20">
        <f>I8+февраль!J8</f>
        <v>0</v>
      </c>
      <c r="K8" s="8"/>
      <c r="L8" s="18">
        <f>K8+февраль!L8</f>
        <v>0</v>
      </c>
    </row>
    <row r="9" spans="1:13">
      <c r="A9" s="1">
        <f t="shared" si="1"/>
        <v>7</v>
      </c>
      <c r="B9" s="34" t="str">
        <f>февраль!B9</f>
        <v>Уборка и сан.очистка зем.уч.</v>
      </c>
      <c r="C9" s="8">
        <f>9313.97+264.45</f>
        <v>9578.42</v>
      </c>
      <c r="D9" s="18">
        <f>C9+февраль!D9</f>
        <v>30094.439999999995</v>
      </c>
      <c r="E9" s="9">
        <f>8321.89+1333.07</f>
        <v>9654.9599999999991</v>
      </c>
      <c r="F9" s="18">
        <f>E9+февраль!F9</f>
        <v>25798.799999999999</v>
      </c>
      <c r="G9" s="18">
        <f t="shared" si="0"/>
        <v>76.539999999999054</v>
      </c>
      <c r="H9" s="20">
        <f t="shared" si="0"/>
        <v>-4295.6399999999958</v>
      </c>
      <c r="I9" s="9"/>
      <c r="J9" s="20">
        <f>I9+февраль!J9</f>
        <v>0</v>
      </c>
      <c r="K9" s="8"/>
      <c r="L9" s="18">
        <f>K9+февраль!L9</f>
        <v>0</v>
      </c>
    </row>
    <row r="10" spans="1:13">
      <c r="A10" s="1">
        <f t="shared" si="1"/>
        <v>8</v>
      </c>
      <c r="B10" s="34" t="str">
        <f>февраль!B10</f>
        <v>Электроснабжение(инд.потр)</v>
      </c>
      <c r="C10" s="8">
        <f>83320.22+2343.18</f>
        <v>85663.4</v>
      </c>
      <c r="D10" s="18">
        <f>C10+февраль!D10</f>
        <v>268379.25</v>
      </c>
      <c r="E10" s="9">
        <f>71548.67+11714.18</f>
        <v>83262.850000000006</v>
      </c>
      <c r="F10" s="18">
        <f>E10+февраль!F10</f>
        <v>229673.30000000002</v>
      </c>
      <c r="G10" s="18">
        <f t="shared" si="0"/>
        <v>-2400.5499999999884</v>
      </c>
      <c r="H10" s="20">
        <f t="shared" si="0"/>
        <v>-38705.949999999983</v>
      </c>
      <c r="I10" s="9"/>
      <c r="J10" s="20">
        <f>I10+февраль!J10</f>
        <v>0</v>
      </c>
      <c r="K10" s="8"/>
      <c r="L10" s="18">
        <f>K10+февраль!L10</f>
        <v>0</v>
      </c>
    </row>
    <row r="11" spans="1:13">
      <c r="A11" s="1">
        <f t="shared" si="1"/>
        <v>9</v>
      </c>
      <c r="B11" s="34" t="str">
        <f>февраль!B11</f>
        <v>Холодная вода</v>
      </c>
      <c r="C11" s="8">
        <f>44732.42+4126.5</f>
        <v>48858.92</v>
      </c>
      <c r="D11" s="18">
        <f>C11+февраль!D11</f>
        <v>152977.87</v>
      </c>
      <c r="E11" s="9">
        <f>38748.71+6567.04</f>
        <v>45315.75</v>
      </c>
      <c r="F11" s="18">
        <f>E11+февраль!F11</f>
        <v>125648.14</v>
      </c>
      <c r="G11" s="18">
        <f t="shared" si="0"/>
        <v>-3543.1699999999983</v>
      </c>
      <c r="H11" s="20">
        <f t="shared" si="0"/>
        <v>-27329.729999999996</v>
      </c>
      <c r="I11" s="9"/>
      <c r="J11" s="20">
        <f>I11+февраль!J11</f>
        <v>0</v>
      </c>
      <c r="K11" s="8"/>
      <c r="L11" s="18">
        <f>K11+февраль!L11</f>
        <v>0</v>
      </c>
    </row>
    <row r="12" spans="1:13">
      <c r="A12" s="1">
        <f t="shared" si="1"/>
        <v>10</v>
      </c>
      <c r="B12" s="34" t="str">
        <f>февраль!B12</f>
        <v>Канализирование х.воды</v>
      </c>
      <c r="C12" s="8">
        <v>-2210.14</v>
      </c>
      <c r="D12" s="18">
        <f>C12+февраль!D12</f>
        <v>-2210.14</v>
      </c>
      <c r="E12" s="9">
        <v>0</v>
      </c>
      <c r="F12" s="18">
        <f>E12+февраль!F12</f>
        <v>0</v>
      </c>
      <c r="G12" s="18">
        <f t="shared" si="0"/>
        <v>2210.14</v>
      </c>
      <c r="H12" s="20">
        <f t="shared" si="0"/>
        <v>2210.14</v>
      </c>
      <c r="I12" s="9"/>
      <c r="J12" s="20">
        <f>I12+февраль!J12</f>
        <v>0</v>
      </c>
      <c r="K12" s="8"/>
      <c r="L12" s="18">
        <f>K12+февраль!L12</f>
        <v>0</v>
      </c>
    </row>
    <row r="13" spans="1:13">
      <c r="A13" s="1">
        <f t="shared" si="1"/>
        <v>11</v>
      </c>
      <c r="B13" s="34" t="str">
        <f>февраль!B13</f>
        <v>Канализирование г.воды</v>
      </c>
      <c r="C13" s="8">
        <v>-1504.92</v>
      </c>
      <c r="D13" s="18">
        <f>C13+февраль!D13</f>
        <v>-1504.92</v>
      </c>
      <c r="E13" s="9">
        <v>0</v>
      </c>
      <c r="F13" s="18">
        <f>E13+февраль!F13</f>
        <v>0</v>
      </c>
      <c r="G13" s="18">
        <f t="shared" si="0"/>
        <v>1504.92</v>
      </c>
      <c r="H13" s="20">
        <f t="shared" si="0"/>
        <v>1504.92</v>
      </c>
      <c r="I13" s="9"/>
      <c r="J13" s="20">
        <f>I13+февраль!J13</f>
        <v>0</v>
      </c>
      <c r="K13" s="8"/>
      <c r="L13" s="18">
        <f>K13+февраль!L13</f>
        <v>0</v>
      </c>
    </row>
    <row r="14" spans="1:13">
      <c r="A14" s="1">
        <f t="shared" si="1"/>
        <v>12</v>
      </c>
      <c r="B14" s="34" t="str">
        <f>февраль!B14</f>
        <v>Тек.ремонт общ.имущ.дома</v>
      </c>
      <c r="C14" s="8">
        <f>31606.2+234.44</f>
        <v>31840.639999999999</v>
      </c>
      <c r="D14" s="18">
        <f>C14+февраль!D14</f>
        <v>101169.96</v>
      </c>
      <c r="E14" s="9">
        <f>28369.87+4644.3</f>
        <v>33014.17</v>
      </c>
      <c r="F14" s="18">
        <f>E14+февраль!F14</f>
        <v>89128.28</v>
      </c>
      <c r="G14" s="18">
        <f t="shared" si="0"/>
        <v>1173.5299999999988</v>
      </c>
      <c r="H14" s="20">
        <f t="shared" si="0"/>
        <v>-12041.680000000008</v>
      </c>
      <c r="I14" s="9"/>
      <c r="J14" s="20">
        <f>I14+февраль!J14</f>
        <v>0</v>
      </c>
      <c r="K14" s="8"/>
      <c r="L14" s="18">
        <f>K14+февраль!L14</f>
        <v>0</v>
      </c>
    </row>
    <row r="15" spans="1:13">
      <c r="A15" s="1">
        <f t="shared" si="1"/>
        <v>13</v>
      </c>
      <c r="B15" s="34" t="str">
        <f>февраль!B15</f>
        <v>Управление многокварт.домом</v>
      </c>
      <c r="C15" s="8">
        <f>13080.19+985.8</f>
        <v>14065.99</v>
      </c>
      <c r="D15" s="18">
        <f>C15+февраль!D15</f>
        <v>43096.31</v>
      </c>
      <c r="E15" s="9">
        <f>11683.35+1666.19</f>
        <v>13349.54</v>
      </c>
      <c r="F15" s="18">
        <f>E15+февраль!F15</f>
        <v>35745.199999999997</v>
      </c>
      <c r="G15" s="18">
        <f t="shared" si="0"/>
        <v>-716.44999999999891</v>
      </c>
      <c r="H15" s="20">
        <f t="shared" si="0"/>
        <v>-7351.1100000000006</v>
      </c>
      <c r="I15" s="9"/>
      <c r="J15" s="20">
        <f>I15+февраль!J15</f>
        <v>0</v>
      </c>
      <c r="K15" s="8"/>
      <c r="L15" s="18">
        <f>K15+февраль!L15</f>
        <v>0</v>
      </c>
    </row>
    <row r="16" spans="1:13">
      <c r="A16" s="1">
        <f t="shared" si="1"/>
        <v>14</v>
      </c>
      <c r="B16" s="34" t="str">
        <f>февраль!B16</f>
        <v>Водоотведение (кв)</v>
      </c>
      <c r="C16" s="8">
        <f>76349.59+9795.62</f>
        <v>86145.209999999992</v>
      </c>
      <c r="D16" s="18">
        <f>C16+февраль!D16</f>
        <v>263379.43999999994</v>
      </c>
      <c r="E16" s="9">
        <f>66165.31+11244.36</f>
        <v>77409.67</v>
      </c>
      <c r="F16" s="18">
        <f>E16+февраль!F16</f>
        <v>215260.52000000002</v>
      </c>
      <c r="G16" s="18">
        <f t="shared" si="0"/>
        <v>-8735.5399999999936</v>
      </c>
      <c r="H16" s="20">
        <f t="shared" si="0"/>
        <v>-48118.919999999925</v>
      </c>
      <c r="I16" s="9"/>
      <c r="J16" s="20">
        <f>I16+февраль!J16</f>
        <v>0</v>
      </c>
      <c r="K16" s="8"/>
      <c r="L16" s="18">
        <f>K16+февраль!L16</f>
        <v>0</v>
      </c>
    </row>
    <row r="17" spans="1:12">
      <c r="A17" s="1">
        <f t="shared" si="1"/>
        <v>15</v>
      </c>
      <c r="B17" s="34" t="str">
        <f>февраль!B17</f>
        <v>Эксплуатация общедомовых ПУ</v>
      </c>
      <c r="C17" s="8">
        <f>3359.14+-108.5</f>
        <v>3250.64</v>
      </c>
      <c r="D17" s="18">
        <f>C17+февраль!D17</f>
        <v>10581.72</v>
      </c>
      <c r="E17" s="9">
        <f>3005.02+507.06</f>
        <v>3512.08</v>
      </c>
      <c r="F17" s="18">
        <f>E17+февраль!F17</f>
        <v>9488.66</v>
      </c>
      <c r="G17" s="18">
        <f t="shared" si="0"/>
        <v>261.44000000000005</v>
      </c>
      <c r="H17" s="20">
        <f t="shared" si="0"/>
        <v>-1093.0599999999995</v>
      </c>
      <c r="I17" s="9"/>
      <c r="J17" s="20">
        <f>I17+февраль!J17</f>
        <v>0</v>
      </c>
      <c r="K17" s="8"/>
      <c r="L17" s="18">
        <f>K17+февраль!L17</f>
        <v>0</v>
      </c>
    </row>
    <row r="18" spans="1:12">
      <c r="A18" s="1">
        <f t="shared" si="1"/>
        <v>16</v>
      </c>
      <c r="B18" s="34" t="str">
        <f>февраль!B18</f>
        <v>Хол.водоснабжение(о/д нужды)</v>
      </c>
      <c r="C18" s="8">
        <f>1511.55+68.56</f>
        <v>1580.11</v>
      </c>
      <c r="D18" s="18">
        <f>C18+февраль!D18</f>
        <v>4562.1299999999992</v>
      </c>
      <c r="E18" s="9">
        <f>1499.66+595.09</f>
        <v>2094.75</v>
      </c>
      <c r="F18" s="18">
        <f>E18+февраль!F18</f>
        <v>5581.17</v>
      </c>
      <c r="G18" s="18">
        <f t="shared" si="0"/>
        <v>514.6400000000001</v>
      </c>
      <c r="H18" s="20">
        <f t="shared" si="0"/>
        <v>1019.0400000000009</v>
      </c>
      <c r="I18" s="9"/>
      <c r="J18" s="20">
        <f>I18+февраль!J18</f>
        <v>0</v>
      </c>
      <c r="K18" s="8"/>
      <c r="L18" s="18">
        <f>K18+февраль!L18</f>
        <v>0</v>
      </c>
    </row>
    <row r="19" spans="1:12">
      <c r="A19" s="1">
        <f t="shared" si="1"/>
        <v>17</v>
      </c>
      <c r="B19" s="34" t="str">
        <f>февраль!B19</f>
        <v>Водоотведение(о/д нужды)</v>
      </c>
      <c r="C19" s="8">
        <f>-190.85</f>
        <v>-190.85</v>
      </c>
      <c r="D19" s="18">
        <f>C19+февраль!D19</f>
        <v>-190.85</v>
      </c>
      <c r="E19" s="9">
        <v>0</v>
      </c>
      <c r="F19" s="18">
        <f>E19+февраль!F19</f>
        <v>135.74</v>
      </c>
      <c r="G19" s="18">
        <f t="shared" si="0"/>
        <v>190.85</v>
      </c>
      <c r="H19" s="20">
        <f t="shared" si="0"/>
        <v>326.59000000000003</v>
      </c>
      <c r="I19" s="9"/>
      <c r="J19" s="20">
        <f>I19+февраль!J19</f>
        <v>0</v>
      </c>
      <c r="K19" s="8"/>
      <c r="L19" s="18">
        <f>K19+февраль!L19</f>
        <v>0</v>
      </c>
    </row>
    <row r="20" spans="1:12">
      <c r="A20" s="1">
        <f t="shared" si="1"/>
        <v>18</v>
      </c>
      <c r="B20" s="34" t="str">
        <f>февраль!B20</f>
        <v>Отопление (о/д нужды)</v>
      </c>
      <c r="C20" s="8">
        <f>-848.48</f>
        <v>-848.48</v>
      </c>
      <c r="D20" s="18">
        <f>C20+февраль!D20</f>
        <v>-848.48</v>
      </c>
      <c r="E20" s="9">
        <v>0</v>
      </c>
      <c r="F20" s="18">
        <f>E20+февраль!F20</f>
        <v>643.94000000000005</v>
      </c>
      <c r="G20" s="18">
        <f t="shared" si="0"/>
        <v>848.48</v>
      </c>
      <c r="H20" s="20">
        <f t="shared" si="0"/>
        <v>1492.42</v>
      </c>
      <c r="I20" s="9"/>
      <c r="J20" s="20">
        <f>I20+февраль!J20</f>
        <v>0</v>
      </c>
      <c r="K20" s="8"/>
      <c r="L20" s="18">
        <f>K20+февраль!L20</f>
        <v>0</v>
      </c>
    </row>
    <row r="21" spans="1:12">
      <c r="A21" s="1">
        <f t="shared" si="1"/>
        <v>19</v>
      </c>
      <c r="B21" s="34" t="str">
        <f>февраль!B21</f>
        <v>Электроснабжение(оющед.нужд)</v>
      </c>
      <c r="C21" s="8">
        <f>50298.08+6937.65+5120.4</f>
        <v>62356.130000000005</v>
      </c>
      <c r="D21" s="18">
        <f>C21+февраль!D21</f>
        <v>155576.52000000002</v>
      </c>
      <c r="E21" s="9">
        <f>35138.72+6401.82+2106.62</f>
        <v>43647.16</v>
      </c>
      <c r="F21" s="18">
        <f>E21+февраль!F21</f>
        <v>114070.42000000001</v>
      </c>
      <c r="G21" s="18">
        <f t="shared" si="0"/>
        <v>-18708.97</v>
      </c>
      <c r="H21" s="20">
        <f t="shared" si="0"/>
        <v>-41506.100000000006</v>
      </c>
      <c r="I21" s="9"/>
      <c r="J21" s="20">
        <f>I21+февраль!J21</f>
        <v>0</v>
      </c>
      <c r="K21" s="8"/>
      <c r="L21" s="18">
        <f>K21+февраль!L21</f>
        <v>0</v>
      </c>
    </row>
    <row r="22" spans="1:12" ht="15" customHeight="1">
      <c r="A22" s="1">
        <f t="shared" si="1"/>
        <v>20</v>
      </c>
      <c r="B22" s="34" t="s">
        <v>35</v>
      </c>
      <c r="C22" s="8">
        <f>3356.07+482.57</f>
        <v>3838.6400000000003</v>
      </c>
      <c r="D22" s="18">
        <f>C22+февраль!D22</f>
        <v>11109.1</v>
      </c>
      <c r="E22" s="9">
        <f>3020.65+692.47</f>
        <v>3713.12</v>
      </c>
      <c r="F22" s="18">
        <f>E22+февраль!F22</f>
        <v>9717.25</v>
      </c>
      <c r="G22" s="18">
        <f t="shared" si="0"/>
        <v>-125.52000000000044</v>
      </c>
      <c r="H22" s="20">
        <f t="shared" si="0"/>
        <v>-1391.8500000000004</v>
      </c>
      <c r="I22" s="9"/>
      <c r="J22" s="20">
        <f>I22+февраль!J22</f>
        <v>0</v>
      </c>
      <c r="K22" s="8"/>
      <c r="L22" s="18">
        <f>K22+февраль!L22</f>
        <v>0</v>
      </c>
    </row>
    <row r="23" spans="1:12">
      <c r="A23" s="1"/>
      <c r="B23" s="38" t="s">
        <v>12</v>
      </c>
      <c r="C23" s="23">
        <f t="shared" ref="C23:L23" si="2">SUM(C3:C22)</f>
        <v>823914.86</v>
      </c>
      <c r="D23" s="23">
        <f t="shared" si="2"/>
        <v>2529620.2500000005</v>
      </c>
      <c r="E23" s="24">
        <f t="shared" si="2"/>
        <v>765786.93000000017</v>
      </c>
      <c r="F23" s="23">
        <f t="shared" si="2"/>
        <v>1995455.3199999998</v>
      </c>
      <c r="G23" s="23">
        <f t="shared" si="2"/>
        <v>-58127.929999999978</v>
      </c>
      <c r="H23" s="24">
        <f t="shared" si="2"/>
        <v>-534164.92999999982</v>
      </c>
      <c r="I23" s="24">
        <f t="shared" si="2"/>
        <v>0</v>
      </c>
      <c r="J23" s="24">
        <f t="shared" si="2"/>
        <v>0</v>
      </c>
      <c r="K23" s="23">
        <f t="shared" si="2"/>
        <v>0</v>
      </c>
      <c r="L23" s="23">
        <f t="shared" si="2"/>
        <v>0</v>
      </c>
    </row>
    <row r="25" spans="1:12">
      <c r="B25" s="41" t="s">
        <v>36</v>
      </c>
      <c r="C25" s="9">
        <f t="shared" ref="C25:H25" si="3">C3+C6+C7+C8+C9+C14+C15+C17</f>
        <v>146904.59000000003</v>
      </c>
      <c r="D25" s="9">
        <f t="shared" si="3"/>
        <v>463509.14999999997</v>
      </c>
      <c r="E25" s="9">
        <f t="shared" si="3"/>
        <v>149781.24</v>
      </c>
      <c r="F25" s="9">
        <f t="shared" si="3"/>
        <v>401449.70999999996</v>
      </c>
      <c r="G25" s="9">
        <f t="shared" si="3"/>
        <v>2876.6500000000015</v>
      </c>
      <c r="H25" s="9">
        <f t="shared" si="3"/>
        <v>-62059.44</v>
      </c>
    </row>
    <row r="28" spans="1:12">
      <c r="B28" s="1" t="s">
        <v>38</v>
      </c>
      <c r="C28" s="9">
        <f>C11+C12+C13+C16+C18+C19</f>
        <v>132678.32999999999</v>
      </c>
      <c r="D28" s="9">
        <f t="shared" ref="D28:J28" si="4">D11+D12+D13+D16+D18+D19</f>
        <v>417013.52999999991</v>
      </c>
      <c r="E28" s="9">
        <f t="shared" si="4"/>
        <v>124820.17</v>
      </c>
      <c r="F28" s="9">
        <f t="shared" si="4"/>
        <v>346625.57</v>
      </c>
      <c r="G28" s="9">
        <f t="shared" si="4"/>
        <v>-7858.1599999999917</v>
      </c>
      <c r="H28" s="9">
        <f t="shared" si="4"/>
        <v>-70387.959999999934</v>
      </c>
      <c r="I28" s="9">
        <f t="shared" si="4"/>
        <v>0</v>
      </c>
      <c r="J28" s="9">
        <f t="shared" si="4"/>
        <v>0</v>
      </c>
    </row>
    <row r="29" spans="1:12">
      <c r="B29" s="1" t="s">
        <v>39</v>
      </c>
      <c r="C29" s="9">
        <f>C10+C21</f>
        <v>148019.53</v>
      </c>
      <c r="D29" s="9">
        <f t="shared" ref="D29:J29" si="5">D10+D21</f>
        <v>423955.77</v>
      </c>
      <c r="E29" s="9">
        <f t="shared" si="5"/>
        <v>126910.01000000001</v>
      </c>
      <c r="F29" s="9">
        <f t="shared" si="5"/>
        <v>343743.72000000003</v>
      </c>
      <c r="G29" s="9">
        <f t="shared" si="5"/>
        <v>-21109.51999999999</v>
      </c>
      <c r="H29" s="9">
        <f t="shared" si="5"/>
        <v>-80212.049999999988</v>
      </c>
      <c r="I29" s="9">
        <f t="shared" si="5"/>
        <v>0</v>
      </c>
      <c r="J29" s="9">
        <f t="shared" si="5"/>
        <v>0</v>
      </c>
    </row>
    <row r="30" spans="1:12">
      <c r="B30" s="1" t="s">
        <v>40</v>
      </c>
      <c r="C30" s="9">
        <f>C4+C5+C20+C22</f>
        <v>396312.41000000003</v>
      </c>
      <c r="D30" s="9">
        <f t="shared" ref="D30:J30" si="6">D4+D5+D20+D22</f>
        <v>1225141.8</v>
      </c>
      <c r="E30" s="9">
        <f t="shared" si="6"/>
        <v>364275.51</v>
      </c>
      <c r="F30" s="9">
        <f t="shared" si="6"/>
        <v>903636.32</v>
      </c>
      <c r="G30" s="9">
        <f t="shared" si="6"/>
        <v>-32036.9</v>
      </c>
      <c r="H30" s="9">
        <f t="shared" si="6"/>
        <v>-321505.48</v>
      </c>
      <c r="I30" s="9">
        <f t="shared" si="6"/>
        <v>0</v>
      </c>
      <c r="J30" s="9">
        <f t="shared" si="6"/>
        <v>0</v>
      </c>
    </row>
    <row r="32" spans="1:12">
      <c r="C32">
        <f>767763.32+56151.54</f>
        <v>823914.86</v>
      </c>
      <c r="E32">
        <f>661866.46+103920.47</f>
        <v>765786.92999999993</v>
      </c>
    </row>
    <row r="36" spans="9:10">
      <c r="I36" s="11"/>
      <c r="J36" s="11"/>
    </row>
  </sheetData>
  <phoneticPr fontId="0" type="noConversion"/>
  <pageMargins left="0" right="0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B25" sqref="B25:H25"/>
    </sheetView>
  </sheetViews>
  <sheetFormatPr defaultRowHeight="12.75"/>
  <cols>
    <col min="1" max="1" width="4.85546875" customWidth="1"/>
    <col min="2" max="2" width="31.7109375" style="36" customWidth="1"/>
    <col min="3" max="3" width="14.85546875" customWidth="1"/>
    <col min="4" max="4" width="14.7109375" customWidth="1"/>
    <col min="5" max="5" width="14.5703125" customWidth="1"/>
    <col min="6" max="6" width="11.5703125" customWidth="1"/>
    <col min="7" max="7" width="11.85546875" customWidth="1"/>
    <col min="8" max="8" width="10.7109375" customWidth="1"/>
    <col min="9" max="9" width="10.5703125" customWidth="1"/>
    <col min="10" max="10" width="11.5703125" customWidth="1"/>
    <col min="11" max="11" width="11.42578125" customWidth="1"/>
    <col min="12" max="12" width="11.7109375" customWidth="1"/>
    <col min="13" max="13" width="10.7109375" bestFit="1" customWidth="1"/>
  </cols>
  <sheetData>
    <row r="1" spans="1:13" ht="26.25" customHeight="1">
      <c r="B1" s="12" t="s">
        <v>18</v>
      </c>
      <c r="D1" t="s">
        <v>45</v>
      </c>
    </row>
    <row r="2" spans="1:13" ht="26.25" customHeight="1">
      <c r="A2" s="13" t="s">
        <v>0</v>
      </c>
      <c r="B2" s="40" t="s">
        <v>1</v>
      </c>
      <c r="C2" s="15" t="s">
        <v>2</v>
      </c>
      <c r="D2" s="17" t="s">
        <v>3</v>
      </c>
      <c r="E2" s="16" t="s">
        <v>4</v>
      </c>
      <c r="F2" s="17" t="s">
        <v>5</v>
      </c>
      <c r="G2" s="17" t="s">
        <v>6</v>
      </c>
      <c r="H2" s="19" t="s">
        <v>7</v>
      </c>
      <c r="I2" s="16" t="s">
        <v>8</v>
      </c>
      <c r="J2" s="19" t="s">
        <v>9</v>
      </c>
      <c r="K2" s="14" t="s">
        <v>10</v>
      </c>
      <c r="L2" s="17" t="s">
        <v>11</v>
      </c>
    </row>
    <row r="3" spans="1:13">
      <c r="A3" s="1">
        <v>1</v>
      </c>
      <c r="B3" s="34" t="str">
        <f>март!B3</f>
        <v>Содержание общ.имущ.дома</v>
      </c>
      <c r="C3" s="8">
        <f>9878.69+60401.79</f>
        <v>70280.479999999996</v>
      </c>
      <c r="D3" s="18">
        <f>C3+март!D3</f>
        <v>264490.51</v>
      </c>
      <c r="E3" s="9">
        <f>12943.24+58798.89</f>
        <v>71742.13</v>
      </c>
      <c r="F3" s="18">
        <f>E3+март!F3</f>
        <v>240450.14</v>
      </c>
      <c r="G3" s="18">
        <f>E3-C3</f>
        <v>1461.6500000000087</v>
      </c>
      <c r="H3" s="20">
        <f>F3-D3</f>
        <v>-24040.369999999995</v>
      </c>
      <c r="I3" s="9"/>
      <c r="J3" s="20">
        <f>I3+март!J3</f>
        <v>0</v>
      </c>
      <c r="K3" s="8"/>
      <c r="L3" s="18">
        <f>K3+март!L3</f>
        <v>0</v>
      </c>
    </row>
    <row r="4" spans="1:13">
      <c r="A4" s="1">
        <f>A3+1</f>
        <v>2</v>
      </c>
      <c r="B4" s="34" t="str">
        <f>март!B4</f>
        <v>Отопление</v>
      </c>
      <c r="C4" s="8">
        <f>27385.87+167901.19</f>
        <v>195287.06</v>
      </c>
      <c r="D4" s="18">
        <f>C4+март!D4</f>
        <v>1021604.3</v>
      </c>
      <c r="E4" s="9">
        <f>43847.34+222608.63</f>
        <v>266455.96999999997</v>
      </c>
      <c r="F4" s="18">
        <f>E4+март!F4</f>
        <v>842612.7</v>
      </c>
      <c r="G4" s="18">
        <f t="shared" ref="G4:H22" si="0">E4-C4</f>
        <v>71168.909999999974</v>
      </c>
      <c r="H4" s="20">
        <f t="shared" si="0"/>
        <v>-178991.60000000009</v>
      </c>
      <c r="I4" s="9"/>
      <c r="J4" s="20">
        <f>I4+март!J4</f>
        <v>0</v>
      </c>
      <c r="K4" s="8"/>
      <c r="L4" s="18">
        <f>K4+март!L4</f>
        <v>0</v>
      </c>
      <c r="M4" s="25">
        <f>L4-J4</f>
        <v>0</v>
      </c>
    </row>
    <row r="5" spans="1:13">
      <c r="A5" s="1">
        <f t="shared" ref="A5:A22" si="1">A4+1</f>
        <v>3</v>
      </c>
      <c r="B5" s="34" t="str">
        <f>март!B5</f>
        <v>Горячее водоснабжение</v>
      </c>
      <c r="C5" s="8">
        <f>24310.85+118848</f>
        <v>143158.85</v>
      </c>
      <c r="D5" s="18">
        <f>C5+март!D5</f>
        <v>531722.79</v>
      </c>
      <c r="E5" s="9">
        <f>22435.03+100670.99</f>
        <v>123106.02</v>
      </c>
      <c r="F5" s="18">
        <f>E5+март!F5</f>
        <v>440224.42000000004</v>
      </c>
      <c r="G5" s="18">
        <f t="shared" si="0"/>
        <v>-20052.830000000002</v>
      </c>
      <c r="H5" s="20">
        <f t="shared" si="0"/>
        <v>-91498.37</v>
      </c>
      <c r="I5" s="9"/>
      <c r="J5" s="20">
        <f>I5+март!J5</f>
        <v>0</v>
      </c>
      <c r="K5" s="8"/>
      <c r="L5" s="18">
        <f>K5+март!L5</f>
        <v>0</v>
      </c>
    </row>
    <row r="6" spans="1:13">
      <c r="A6" s="1">
        <f t="shared" si="1"/>
        <v>4</v>
      </c>
      <c r="B6" s="34" t="str">
        <f>март!B6</f>
        <v>Сод.и ремонт АППЗ</v>
      </c>
      <c r="C6" s="8">
        <f>365.24+2239.39</f>
        <v>2604.63</v>
      </c>
      <c r="D6" s="18">
        <f>C6+март!D6</f>
        <v>9712.8499999999985</v>
      </c>
      <c r="E6" s="9">
        <f>506.66+2219.65</f>
        <v>2726.31</v>
      </c>
      <c r="F6" s="18">
        <f>E6+март!F6</f>
        <v>9028.35</v>
      </c>
      <c r="G6" s="18">
        <f t="shared" si="0"/>
        <v>121.67999999999984</v>
      </c>
      <c r="H6" s="20">
        <f t="shared" si="0"/>
        <v>-684.49999999999818</v>
      </c>
      <c r="I6" s="9"/>
      <c r="J6" s="20">
        <f>I6+март!J6</f>
        <v>0</v>
      </c>
      <c r="K6" s="8"/>
      <c r="L6" s="18">
        <f>K6+март!L6</f>
        <v>0</v>
      </c>
    </row>
    <row r="7" spans="1:13">
      <c r="A7" s="1">
        <f t="shared" si="1"/>
        <v>5</v>
      </c>
      <c r="B7" s="34" t="str">
        <f>март!B7</f>
        <v>Сод.и ремонт лифтов</v>
      </c>
      <c r="C7" s="8">
        <f>1834.6+11247.91</f>
        <v>13082.51</v>
      </c>
      <c r="D7" s="18">
        <f>C7+март!D7</f>
        <v>67222.2</v>
      </c>
      <c r="E7" s="9">
        <f>3405.91+13887.6</f>
        <v>17293.510000000002</v>
      </c>
      <c r="F7" s="18">
        <f>E7+март!F7</f>
        <v>63367.1</v>
      </c>
      <c r="G7" s="18">
        <f t="shared" si="0"/>
        <v>4211.0000000000018</v>
      </c>
      <c r="H7" s="20">
        <f t="shared" si="0"/>
        <v>-3855.0999999999985</v>
      </c>
      <c r="I7" s="9"/>
      <c r="J7" s="20">
        <f>I7+март!J7</f>
        <v>0</v>
      </c>
      <c r="K7" s="8"/>
      <c r="L7" s="18">
        <f>K7+март!L7</f>
        <v>0</v>
      </c>
    </row>
    <row r="8" spans="1:13">
      <c r="A8" s="1">
        <f t="shared" si="1"/>
        <v>6</v>
      </c>
      <c r="B8" s="34" t="str">
        <f>март!B8</f>
        <v>Очистка мусоропроводов</v>
      </c>
      <c r="C8" s="8">
        <f>1178.77+7190.54</f>
        <v>8369.31</v>
      </c>
      <c r="D8" s="18">
        <f>C8+март!D8</f>
        <v>31478.089999999997</v>
      </c>
      <c r="E8" s="9">
        <f>1604.04+7113.55</f>
        <v>8717.59</v>
      </c>
      <c r="F8" s="18">
        <f>E8+март!F8</f>
        <v>28922.720000000001</v>
      </c>
      <c r="G8" s="18">
        <f t="shared" si="0"/>
        <v>348.28000000000065</v>
      </c>
      <c r="H8" s="20">
        <f t="shared" si="0"/>
        <v>-2555.3699999999953</v>
      </c>
      <c r="I8" s="9"/>
      <c r="J8" s="20">
        <f>I8+март!J8</f>
        <v>0</v>
      </c>
      <c r="K8" s="8"/>
      <c r="L8" s="18">
        <f>K8+март!L8</f>
        <v>0</v>
      </c>
    </row>
    <row r="9" spans="1:13">
      <c r="A9" s="1">
        <f t="shared" si="1"/>
        <v>7</v>
      </c>
      <c r="B9" s="34" t="str">
        <f>март!B9</f>
        <v>Уборка и сан.очистка зем.уч.</v>
      </c>
      <c r="C9" s="8">
        <f>1519.17+9313.94</f>
        <v>10833.11</v>
      </c>
      <c r="D9" s="18">
        <f>C9+март!D9</f>
        <v>40927.549999999996</v>
      </c>
      <c r="E9" s="9">
        <f>1954.34+9092.72</f>
        <v>11047.06</v>
      </c>
      <c r="F9" s="18">
        <f>E9+март!F9</f>
        <v>36845.86</v>
      </c>
      <c r="G9" s="18">
        <f t="shared" si="0"/>
        <v>213.94999999999891</v>
      </c>
      <c r="H9" s="20">
        <f t="shared" si="0"/>
        <v>-4081.6899999999951</v>
      </c>
      <c r="I9" s="9"/>
      <c r="J9" s="20">
        <f>I9+март!J9</f>
        <v>0</v>
      </c>
      <c r="K9" s="8"/>
      <c r="L9" s="18">
        <f>K9+март!L9</f>
        <v>0</v>
      </c>
    </row>
    <row r="10" spans="1:13">
      <c r="A10" s="1">
        <f t="shared" si="1"/>
        <v>8</v>
      </c>
      <c r="B10" s="34" t="str">
        <f>март!B10</f>
        <v>Электроснабжение(инд.потр)</v>
      </c>
      <c r="C10" s="8">
        <f>14800.32+84654.36</f>
        <v>99454.68</v>
      </c>
      <c r="D10" s="18">
        <f>C10+март!D10</f>
        <v>367833.93</v>
      </c>
      <c r="E10" s="9">
        <f>16315.55+75546.92</f>
        <v>91862.47</v>
      </c>
      <c r="F10" s="18">
        <f>E10+март!F10</f>
        <v>321535.77</v>
      </c>
      <c r="G10" s="18">
        <f t="shared" si="0"/>
        <v>-7592.2099999999919</v>
      </c>
      <c r="H10" s="20">
        <f t="shared" si="0"/>
        <v>-46298.159999999974</v>
      </c>
      <c r="I10" s="9"/>
      <c r="J10" s="20">
        <f>I10+март!J10</f>
        <v>0</v>
      </c>
      <c r="K10" s="8"/>
      <c r="L10" s="18">
        <f>K10+март!L10</f>
        <v>0</v>
      </c>
    </row>
    <row r="11" spans="1:13">
      <c r="A11" s="1">
        <f t="shared" si="1"/>
        <v>9</v>
      </c>
      <c r="B11" s="34" t="str">
        <f>март!B11</f>
        <v>Холодная вода</v>
      </c>
      <c r="C11" s="8">
        <f>9547.33+46340.8</f>
        <v>55888.130000000005</v>
      </c>
      <c r="D11" s="18">
        <f>C11+март!D11</f>
        <v>208866</v>
      </c>
      <c r="E11" s="9">
        <f>9230.64+39483</f>
        <v>48713.64</v>
      </c>
      <c r="F11" s="18">
        <f>E11+март!F11</f>
        <v>174361.78</v>
      </c>
      <c r="G11" s="18">
        <f t="shared" si="0"/>
        <v>-7174.4900000000052</v>
      </c>
      <c r="H11" s="20">
        <f t="shared" si="0"/>
        <v>-34504.22</v>
      </c>
      <c r="I11" s="9"/>
      <c r="J11" s="20">
        <f>I11+март!J11</f>
        <v>0</v>
      </c>
      <c r="K11" s="8"/>
      <c r="L11" s="18">
        <f>K11+март!L11</f>
        <v>0</v>
      </c>
    </row>
    <row r="12" spans="1:13">
      <c r="A12" s="1">
        <f t="shared" si="1"/>
        <v>10</v>
      </c>
      <c r="B12" s="34" t="str">
        <f>март!B12</f>
        <v>Канализирование х.воды</v>
      </c>
      <c r="C12" s="8">
        <v>0</v>
      </c>
      <c r="D12" s="18">
        <f>C12+март!D12</f>
        <v>-2210.14</v>
      </c>
      <c r="E12" s="8">
        <v>0</v>
      </c>
      <c r="F12" s="18">
        <f>E12+март!F12</f>
        <v>0</v>
      </c>
      <c r="G12" s="18">
        <f t="shared" si="0"/>
        <v>0</v>
      </c>
      <c r="H12" s="20">
        <f t="shared" si="0"/>
        <v>2210.14</v>
      </c>
      <c r="I12" s="9"/>
      <c r="J12" s="20">
        <f>I12+март!J12</f>
        <v>0</v>
      </c>
      <c r="K12" s="8"/>
      <c r="L12" s="18">
        <f>K12+март!L12</f>
        <v>0</v>
      </c>
    </row>
    <row r="13" spans="1:13">
      <c r="A13" s="1">
        <f t="shared" si="1"/>
        <v>11</v>
      </c>
      <c r="B13" s="34" t="str">
        <f>март!B13</f>
        <v>Канализирование г.воды</v>
      </c>
      <c r="C13" s="8">
        <v>0</v>
      </c>
      <c r="D13" s="18">
        <f>C13+март!D13</f>
        <v>-1504.92</v>
      </c>
      <c r="E13" s="8">
        <v>0</v>
      </c>
      <c r="F13" s="18">
        <f>E13+март!F13</f>
        <v>0</v>
      </c>
      <c r="G13" s="18">
        <f t="shared" si="0"/>
        <v>0</v>
      </c>
      <c r="H13" s="20">
        <f t="shared" si="0"/>
        <v>1504.92</v>
      </c>
      <c r="I13" s="9"/>
      <c r="J13" s="20">
        <f>I13+март!J13</f>
        <v>0</v>
      </c>
      <c r="K13" s="8"/>
      <c r="L13" s="18">
        <f>K13+март!L13</f>
        <v>0</v>
      </c>
    </row>
    <row r="14" spans="1:13">
      <c r="A14" s="1">
        <f t="shared" si="1"/>
        <v>12</v>
      </c>
      <c r="B14" s="34" t="str">
        <f>март!B14</f>
        <v>Тек.ремонт общ.имущ.дома</v>
      </c>
      <c r="C14" s="8">
        <f>5155.16+31606.08</f>
        <v>36761.240000000005</v>
      </c>
      <c r="D14" s="18">
        <f>C14+март!D14</f>
        <v>137931.20000000001</v>
      </c>
      <c r="E14" s="9">
        <f>6881.06+31671.09</f>
        <v>38552.15</v>
      </c>
      <c r="F14" s="18">
        <f>E14+март!F14</f>
        <v>127680.43</v>
      </c>
      <c r="G14" s="18">
        <f t="shared" si="0"/>
        <v>1790.9099999999962</v>
      </c>
      <c r="H14" s="20">
        <f t="shared" si="0"/>
        <v>-10250.770000000019</v>
      </c>
      <c r="I14" s="9"/>
      <c r="J14" s="20">
        <f>I14+март!J14</f>
        <v>0</v>
      </c>
      <c r="K14" s="8"/>
      <c r="L14" s="18">
        <f>K14+март!L14</f>
        <v>0</v>
      </c>
    </row>
    <row r="15" spans="1:13">
      <c r="A15" s="1">
        <f t="shared" si="1"/>
        <v>13</v>
      </c>
      <c r="B15" s="34" t="str">
        <f>март!B15</f>
        <v>Управление многокварт.домом</v>
      </c>
      <c r="C15" s="8">
        <f>2133.48+13080.13</f>
        <v>15213.609999999999</v>
      </c>
      <c r="D15" s="18">
        <f>C15+март!D15</f>
        <v>58309.919999999998</v>
      </c>
      <c r="E15" s="9">
        <f>2586.9+12634.89</f>
        <v>15221.789999999999</v>
      </c>
      <c r="F15" s="18">
        <f>E15+март!F15</f>
        <v>50966.99</v>
      </c>
      <c r="G15" s="18">
        <f t="shared" si="0"/>
        <v>8.180000000000291</v>
      </c>
      <c r="H15" s="20">
        <f t="shared" si="0"/>
        <v>-7342.93</v>
      </c>
      <c r="I15" s="9"/>
      <c r="J15" s="20">
        <f>I15+март!J15</f>
        <v>0</v>
      </c>
      <c r="K15" s="8"/>
      <c r="L15" s="18">
        <f>K15+март!L15</f>
        <v>0</v>
      </c>
    </row>
    <row r="16" spans="1:13">
      <c r="A16" s="1">
        <f t="shared" si="1"/>
        <v>14</v>
      </c>
      <c r="B16" s="34" t="str">
        <f>март!B16</f>
        <v>Водоотведение (кв)</v>
      </c>
      <c r="C16" s="8">
        <f>16303.36+79368.96</f>
        <v>95672.320000000007</v>
      </c>
      <c r="D16" s="18">
        <f>C16+март!D16</f>
        <v>359051.75999999995</v>
      </c>
      <c r="E16" s="9">
        <f>15683.57+67946.63</f>
        <v>83630.200000000012</v>
      </c>
      <c r="F16" s="18">
        <f>E16+март!F16</f>
        <v>298890.72000000003</v>
      </c>
      <c r="G16" s="18">
        <f t="shared" si="0"/>
        <v>-12042.119999999995</v>
      </c>
      <c r="H16" s="20">
        <f t="shared" si="0"/>
        <v>-60161.039999999921</v>
      </c>
      <c r="I16" s="9"/>
      <c r="J16" s="20">
        <f>I16+март!J16</f>
        <v>0</v>
      </c>
      <c r="K16" s="8"/>
      <c r="L16" s="18">
        <f>K16+март!L16</f>
        <v>0</v>
      </c>
    </row>
    <row r="17" spans="1:12">
      <c r="A17" s="1">
        <f t="shared" si="1"/>
        <v>15</v>
      </c>
      <c r="B17" s="34" t="str">
        <f>март!B17</f>
        <v>Эксплуатация общедомовых ПУ</v>
      </c>
      <c r="C17" s="8">
        <f>547.9+3359.15</f>
        <v>3907.05</v>
      </c>
      <c r="D17" s="18">
        <f>C17+март!D17</f>
        <v>14488.77</v>
      </c>
      <c r="E17" s="9">
        <f>743.53+3348.73</f>
        <v>4092.26</v>
      </c>
      <c r="F17" s="18">
        <f>E17+март!F17</f>
        <v>13580.92</v>
      </c>
      <c r="G17" s="18">
        <f t="shared" si="0"/>
        <v>185.21000000000004</v>
      </c>
      <c r="H17" s="20">
        <f t="shared" si="0"/>
        <v>-907.85000000000036</v>
      </c>
      <c r="I17" s="9"/>
      <c r="J17" s="20">
        <f>I17+март!J17</f>
        <v>0</v>
      </c>
      <c r="K17" s="8"/>
      <c r="L17" s="18">
        <f>K17+март!L17</f>
        <v>0</v>
      </c>
    </row>
    <row r="18" spans="1:12">
      <c r="A18" s="1">
        <f t="shared" si="1"/>
        <v>16</v>
      </c>
      <c r="B18" s="34" t="str">
        <f>март!B18</f>
        <v>Хол.водоснабжение(о/д нужды)</v>
      </c>
      <c r="C18" s="8">
        <f>246.11+1511</f>
        <v>1757.1100000000001</v>
      </c>
      <c r="D18" s="18">
        <f>C18+март!D18</f>
        <v>6319.24</v>
      </c>
      <c r="E18" s="9">
        <f>1307.19+1778.05</f>
        <v>3085.24</v>
      </c>
      <c r="F18" s="18">
        <f>E18+март!F18</f>
        <v>8666.41</v>
      </c>
      <c r="G18" s="18">
        <f t="shared" si="0"/>
        <v>1328.1299999999997</v>
      </c>
      <c r="H18" s="20">
        <f t="shared" si="0"/>
        <v>2347.17</v>
      </c>
      <c r="I18" s="9"/>
      <c r="J18" s="20">
        <f>I18+март!J18</f>
        <v>0</v>
      </c>
      <c r="K18" s="8"/>
      <c r="L18" s="18">
        <f>K18+март!L18</f>
        <v>0</v>
      </c>
    </row>
    <row r="19" spans="1:12">
      <c r="A19" s="1">
        <f t="shared" si="1"/>
        <v>17</v>
      </c>
      <c r="B19" s="34" t="str">
        <f>март!B19</f>
        <v>Водоотведение(о/д нужды)</v>
      </c>
      <c r="C19" s="8">
        <v>0</v>
      </c>
      <c r="D19" s="18">
        <f>C19+март!D19</f>
        <v>-190.85</v>
      </c>
      <c r="E19" s="8">
        <v>0</v>
      </c>
      <c r="F19" s="18">
        <f>E19+март!F19</f>
        <v>135.74</v>
      </c>
      <c r="G19" s="18">
        <f t="shared" si="0"/>
        <v>0</v>
      </c>
      <c r="H19" s="20">
        <f t="shared" si="0"/>
        <v>326.59000000000003</v>
      </c>
      <c r="I19" s="9"/>
      <c r="J19" s="20">
        <f>I19+март!J19</f>
        <v>0</v>
      </c>
      <c r="K19" s="8"/>
      <c r="L19" s="18">
        <f>K19+март!L19</f>
        <v>0</v>
      </c>
    </row>
    <row r="20" spans="1:12">
      <c r="A20" s="1">
        <f t="shared" si="1"/>
        <v>18</v>
      </c>
      <c r="B20" s="34" t="str">
        <f>март!B20</f>
        <v>Отопление (о/д нужды)</v>
      </c>
      <c r="C20" s="8">
        <v>0</v>
      </c>
      <c r="D20" s="18">
        <f>C20+март!D20</f>
        <v>-848.48</v>
      </c>
      <c r="E20" s="8">
        <v>0</v>
      </c>
      <c r="F20" s="18">
        <f>E20+март!F20</f>
        <v>643.94000000000005</v>
      </c>
      <c r="G20" s="18">
        <f t="shared" si="0"/>
        <v>0</v>
      </c>
      <c r="H20" s="20">
        <f t="shared" si="0"/>
        <v>1492.42</v>
      </c>
      <c r="I20" s="9"/>
      <c r="J20" s="20">
        <f>I20+март!J20</f>
        <v>0</v>
      </c>
      <c r="K20" s="8"/>
      <c r="L20" s="18">
        <f>K20+март!L20</f>
        <v>0</v>
      </c>
    </row>
    <row r="21" spans="1:12">
      <c r="A21" s="1">
        <f t="shared" si="1"/>
        <v>19</v>
      </c>
      <c r="B21" s="34" t="str">
        <f>март!B21</f>
        <v>Электроснабжение(оющед.нужд)</v>
      </c>
      <c r="C21" s="8">
        <f>7604.58+46623.43</f>
        <v>54228.01</v>
      </c>
      <c r="D21" s="18">
        <f>C21+март!D21</f>
        <v>209804.53000000003</v>
      </c>
      <c r="E21" s="9">
        <f>11562.62+46260.77</f>
        <v>57823.39</v>
      </c>
      <c r="F21" s="18">
        <f>E21+март!F21</f>
        <v>171893.81</v>
      </c>
      <c r="G21" s="18">
        <f t="shared" si="0"/>
        <v>3595.3799999999974</v>
      </c>
      <c r="H21" s="20">
        <f t="shared" si="0"/>
        <v>-37910.72000000003</v>
      </c>
      <c r="I21" s="9"/>
      <c r="J21" s="20">
        <f>I21+март!J21</f>
        <v>0</v>
      </c>
      <c r="K21" s="8"/>
      <c r="L21" s="18">
        <f>K21+март!L21</f>
        <v>0</v>
      </c>
    </row>
    <row r="22" spans="1:12" ht="12.75" customHeight="1">
      <c r="A22" s="1">
        <f t="shared" si="1"/>
        <v>20</v>
      </c>
      <c r="B22" s="34" t="str">
        <f>март!B22</f>
        <v>Горячее водоснабжение(о/д нужды)</v>
      </c>
      <c r="C22" s="8">
        <f>543.9+3354.02+3413.61</f>
        <v>7311.5300000000007</v>
      </c>
      <c r="D22" s="18">
        <f>C22+март!D22</f>
        <v>18420.63</v>
      </c>
      <c r="E22" s="9">
        <f>1128.01+3325.8+6698.72</f>
        <v>11152.53</v>
      </c>
      <c r="F22" s="18">
        <f>E22+март!F22</f>
        <v>20869.78</v>
      </c>
      <c r="G22" s="18">
        <f t="shared" si="0"/>
        <v>3841</v>
      </c>
      <c r="H22" s="20">
        <f t="shared" si="0"/>
        <v>2449.1499999999978</v>
      </c>
      <c r="I22" s="9"/>
      <c r="J22" s="20">
        <f>I22+март!J22</f>
        <v>0</v>
      </c>
      <c r="K22" s="8"/>
      <c r="L22" s="18">
        <f>K22+март!L22</f>
        <v>0</v>
      </c>
    </row>
    <row r="23" spans="1:12">
      <c r="A23" s="1"/>
      <c r="B23" s="38" t="s">
        <v>12</v>
      </c>
      <c r="C23" s="23">
        <f t="shared" ref="C23:L23" si="2">SUM(C3:C22)</f>
        <v>813809.63</v>
      </c>
      <c r="D23" s="18">
        <f t="shared" si="2"/>
        <v>3343429.88</v>
      </c>
      <c r="E23" s="24">
        <f t="shared" si="2"/>
        <v>855222.26000000013</v>
      </c>
      <c r="F23" s="18">
        <f t="shared" si="2"/>
        <v>2850677.5800000005</v>
      </c>
      <c r="G23" s="18">
        <f t="shared" si="2"/>
        <v>41412.629999999976</v>
      </c>
      <c r="H23" s="20">
        <f t="shared" si="2"/>
        <v>-492752.29999999993</v>
      </c>
      <c r="I23" s="20">
        <f t="shared" si="2"/>
        <v>0</v>
      </c>
      <c r="J23" s="20">
        <f t="shared" si="2"/>
        <v>0</v>
      </c>
      <c r="K23" s="18">
        <f t="shared" si="2"/>
        <v>0</v>
      </c>
      <c r="L23" s="18">
        <f t="shared" si="2"/>
        <v>0</v>
      </c>
    </row>
    <row r="24" spans="1:12" ht="15" customHeight="1"/>
    <row r="25" spans="1:12" ht="15" customHeight="1">
      <c r="B25" s="41" t="s">
        <v>36</v>
      </c>
      <c r="C25" s="9">
        <f t="shared" ref="C25:H25" si="3">C3+C6+C7+C8+C9+C14+C15+C17</f>
        <v>161051.93999999997</v>
      </c>
      <c r="D25" s="9">
        <f t="shared" si="3"/>
        <v>624561.09000000008</v>
      </c>
      <c r="E25" s="9">
        <f t="shared" si="3"/>
        <v>169392.80000000002</v>
      </c>
      <c r="F25" s="9">
        <f t="shared" si="3"/>
        <v>570842.51000000013</v>
      </c>
      <c r="G25" s="9">
        <f t="shared" si="3"/>
        <v>8340.8600000000079</v>
      </c>
      <c r="H25" s="9">
        <f t="shared" si="3"/>
        <v>-53718.58</v>
      </c>
    </row>
    <row r="26" spans="1:12" ht="15" customHeight="1">
      <c r="I26" s="25"/>
    </row>
    <row r="27" spans="1:12" ht="15" customHeight="1"/>
    <row r="28" spans="1:12" ht="15" customHeight="1">
      <c r="B28" s="1" t="s">
        <v>38</v>
      </c>
      <c r="C28" s="9">
        <f>C11+C12+C13+C16+C18+C19</f>
        <v>153317.56</v>
      </c>
      <c r="D28" s="9">
        <f t="shared" ref="D28:J28" si="4">D11+D12+D13+D16+D18+D19</f>
        <v>570331.09</v>
      </c>
      <c r="E28" s="9">
        <f t="shared" si="4"/>
        <v>135429.08000000002</v>
      </c>
      <c r="F28" s="9">
        <f t="shared" si="4"/>
        <v>482054.64999999997</v>
      </c>
      <c r="G28" s="9">
        <f t="shared" si="4"/>
        <v>-17888.48</v>
      </c>
      <c r="H28" s="9">
        <f t="shared" si="4"/>
        <v>-88276.43999999993</v>
      </c>
      <c r="I28" s="9">
        <f t="shared" si="4"/>
        <v>0</v>
      </c>
      <c r="J28" s="9">
        <f t="shared" si="4"/>
        <v>0</v>
      </c>
    </row>
    <row r="29" spans="1:12">
      <c r="B29" s="1" t="s">
        <v>39</v>
      </c>
      <c r="C29" s="9">
        <f>C10+C21</f>
        <v>153682.69</v>
      </c>
      <c r="D29" s="9">
        <f t="shared" ref="D29:J29" si="5">D10+D21</f>
        <v>577638.46</v>
      </c>
      <c r="E29" s="9">
        <f t="shared" si="5"/>
        <v>149685.85999999999</v>
      </c>
      <c r="F29" s="9">
        <f t="shared" si="5"/>
        <v>493429.58</v>
      </c>
      <c r="G29" s="9">
        <f t="shared" si="5"/>
        <v>-3996.8299999999945</v>
      </c>
      <c r="H29" s="9">
        <f t="shared" si="5"/>
        <v>-84208.88</v>
      </c>
      <c r="I29" s="9">
        <f t="shared" si="5"/>
        <v>0</v>
      </c>
      <c r="J29" s="9">
        <f t="shared" si="5"/>
        <v>0</v>
      </c>
    </row>
    <row r="30" spans="1:12">
      <c r="B30" s="1" t="s">
        <v>40</v>
      </c>
      <c r="C30" s="9">
        <f>C4+C5+C20+C22</f>
        <v>345757.44000000006</v>
      </c>
      <c r="D30" s="9">
        <f t="shared" ref="D30:J30" si="6">D4+D5+D20+D22</f>
        <v>1570899.24</v>
      </c>
      <c r="E30" s="9">
        <f t="shared" si="6"/>
        <v>400714.52</v>
      </c>
      <c r="F30" s="9">
        <f t="shared" si="6"/>
        <v>1304350.8400000001</v>
      </c>
      <c r="G30" s="9">
        <f t="shared" si="6"/>
        <v>54957.079999999973</v>
      </c>
      <c r="H30" s="9">
        <f t="shared" si="6"/>
        <v>-266548.40000000008</v>
      </c>
      <c r="I30" s="9">
        <f t="shared" si="6"/>
        <v>0</v>
      </c>
      <c r="J30" s="9">
        <f t="shared" si="6"/>
        <v>0</v>
      </c>
    </row>
    <row r="32" spans="1:12">
      <c r="C32">
        <f>123355.33+690454.3</f>
        <v>813809.63</v>
      </c>
      <c r="E32">
        <f>152135.63+703086.63</f>
        <v>855222.26</v>
      </c>
    </row>
    <row r="37" spans="10:11">
      <c r="J37" s="11"/>
      <c r="K37" s="11"/>
    </row>
  </sheetData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F37" sqref="F37"/>
    </sheetView>
  </sheetViews>
  <sheetFormatPr defaultRowHeight="12.75"/>
  <cols>
    <col min="1" max="1" width="4" customWidth="1"/>
    <col min="2" max="2" width="33" style="36" customWidth="1"/>
    <col min="3" max="3" width="13.140625" customWidth="1"/>
    <col min="4" max="4" width="12" customWidth="1"/>
    <col min="5" max="5" width="14" customWidth="1"/>
    <col min="6" max="6" width="11.7109375" customWidth="1"/>
    <col min="7" max="7" width="12.28515625" customWidth="1"/>
    <col min="8" max="8" width="12.42578125" customWidth="1"/>
    <col min="9" max="9" width="11" customWidth="1"/>
    <col min="10" max="10" width="11.42578125" customWidth="1"/>
    <col min="11" max="11" width="10.5703125" customWidth="1"/>
    <col min="12" max="12" width="11.28515625" customWidth="1"/>
    <col min="13" max="13" width="10.7109375" bestFit="1" customWidth="1"/>
  </cols>
  <sheetData>
    <row r="1" spans="1:13" ht="21" customHeight="1">
      <c r="B1" s="12" t="s">
        <v>18</v>
      </c>
      <c r="D1" t="s">
        <v>46</v>
      </c>
      <c r="E1" s="11"/>
      <c r="G1" s="12"/>
    </row>
    <row r="2" spans="1:13" s="32" customFormat="1" ht="28.5" customHeight="1">
      <c r="A2" s="31" t="s">
        <v>0</v>
      </c>
      <c r="B2" s="37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>
      <c r="A3" s="1">
        <v>1</v>
      </c>
      <c r="B3" s="65" t="str">
        <f>апрель!B3</f>
        <v>Содержание общ.имущ.дома</v>
      </c>
      <c r="C3" s="8">
        <f>9878.69+60401.8</f>
        <v>70280.490000000005</v>
      </c>
      <c r="D3" s="18">
        <f>C3+апрель!D3</f>
        <v>334771</v>
      </c>
      <c r="E3" s="74">
        <f>18007.46+62170.91</f>
        <v>80178.37</v>
      </c>
      <c r="F3" s="18">
        <f>E3+апрель!F3</f>
        <v>320628.51</v>
      </c>
      <c r="G3" s="18">
        <f>E3-C3</f>
        <v>9897.8799999999901</v>
      </c>
      <c r="H3" s="20">
        <f>F3-D3</f>
        <v>-14142.489999999991</v>
      </c>
      <c r="I3" s="9"/>
      <c r="J3" s="20">
        <f>I3+апрель!J3</f>
        <v>0</v>
      </c>
      <c r="K3" s="8"/>
      <c r="L3" s="18">
        <f>K3+апрель!L3</f>
        <v>0</v>
      </c>
    </row>
    <row r="4" spans="1:13">
      <c r="A4" s="1">
        <f>A3+1</f>
        <v>2</v>
      </c>
      <c r="B4" s="65" t="str">
        <f>апрель!B4</f>
        <v>Отопление</v>
      </c>
      <c r="C4" s="8">
        <f>10544.89+64650.07</f>
        <v>75194.959999999992</v>
      </c>
      <c r="D4" s="18">
        <f>C4+апрель!D4</f>
        <v>1096799.26</v>
      </c>
      <c r="E4" s="9">
        <f>42000.42+193467.31</f>
        <v>235467.72999999998</v>
      </c>
      <c r="F4" s="18">
        <f>E4+апрель!F4</f>
        <v>1078080.43</v>
      </c>
      <c r="G4" s="18">
        <f t="shared" ref="G4:H22" si="0">E4-C4</f>
        <v>160272.76999999999</v>
      </c>
      <c r="H4" s="20">
        <f t="shared" si="0"/>
        <v>-18718.830000000075</v>
      </c>
      <c r="I4" s="9"/>
      <c r="J4" s="20">
        <f>I4+апрель!J4</f>
        <v>0</v>
      </c>
      <c r="K4" s="8"/>
      <c r="L4" s="18">
        <f>K4+апрель!L4</f>
        <v>0</v>
      </c>
      <c r="M4" s="25">
        <f>L4-J4</f>
        <v>0</v>
      </c>
    </row>
    <row r="5" spans="1:13">
      <c r="A5" s="1">
        <f t="shared" ref="A5:A22" si="1">A4+1</f>
        <v>3</v>
      </c>
      <c r="B5" s="65" t="str">
        <f>апрель!B5</f>
        <v>Горячее водоснабжение</v>
      </c>
      <c r="C5" s="8">
        <f>24310.85+117243.53</f>
        <v>141554.38</v>
      </c>
      <c r="D5" s="18">
        <f>C5+апрель!D5</f>
        <v>673277.17</v>
      </c>
      <c r="E5" s="9">
        <f>46228.47+113562.43</f>
        <v>159790.9</v>
      </c>
      <c r="F5" s="18">
        <f>E5+апрель!F5</f>
        <v>600015.32000000007</v>
      </c>
      <c r="G5" s="18">
        <f t="shared" si="0"/>
        <v>18236.51999999999</v>
      </c>
      <c r="H5" s="20">
        <f t="shared" si="0"/>
        <v>-73261.849999999977</v>
      </c>
      <c r="I5" s="9"/>
      <c r="J5" s="20">
        <f>I5+апрель!J5</f>
        <v>0</v>
      </c>
      <c r="K5" s="8"/>
      <c r="L5" s="18">
        <f>K5+апрель!L5</f>
        <v>0</v>
      </c>
    </row>
    <row r="6" spans="1:13">
      <c r="A6" s="1">
        <f t="shared" si="1"/>
        <v>4</v>
      </c>
      <c r="B6" s="65" t="str">
        <f>апрель!B6</f>
        <v>Сод.и ремонт АППЗ</v>
      </c>
      <c r="C6" s="8">
        <f>365.24+2239.39</f>
        <v>2604.63</v>
      </c>
      <c r="D6" s="18">
        <f>C6+апрель!D6</f>
        <v>12317.48</v>
      </c>
      <c r="E6" s="9">
        <f>708.04+2312.61</f>
        <v>3020.65</v>
      </c>
      <c r="F6" s="18">
        <f>E6+апрель!F6</f>
        <v>12049</v>
      </c>
      <c r="G6" s="18">
        <f t="shared" si="0"/>
        <v>416.02</v>
      </c>
      <c r="H6" s="20">
        <f t="shared" si="0"/>
        <v>-268.47999999999956</v>
      </c>
      <c r="I6" s="9"/>
      <c r="J6" s="20">
        <f>I6+апрель!J6</f>
        <v>0</v>
      </c>
      <c r="K6" s="8"/>
      <c r="L6" s="18">
        <f>K6+апрель!L6</f>
        <v>0</v>
      </c>
    </row>
    <row r="7" spans="1:13">
      <c r="A7" s="1">
        <f t="shared" si="1"/>
        <v>5</v>
      </c>
      <c r="B7" s="65" t="str">
        <f>апрель!B7</f>
        <v>Сод.и ремонт лифтов</v>
      </c>
      <c r="C7" s="8">
        <f>1834.6+11247.91</f>
        <v>13082.51</v>
      </c>
      <c r="D7" s="18">
        <f>C7+апрель!D7</f>
        <v>80304.709999999992</v>
      </c>
      <c r="E7" s="9">
        <f>4500.6+13005.05</f>
        <v>17505.650000000001</v>
      </c>
      <c r="F7" s="18">
        <f>E7+апрель!F7</f>
        <v>80872.75</v>
      </c>
      <c r="G7" s="18">
        <f t="shared" si="0"/>
        <v>4423.1400000000012</v>
      </c>
      <c r="H7" s="20">
        <f t="shared" si="0"/>
        <v>568.04000000000815</v>
      </c>
      <c r="I7" s="9"/>
      <c r="J7" s="20">
        <f>I7+апрель!J7</f>
        <v>0</v>
      </c>
      <c r="K7" s="8"/>
      <c r="L7" s="18">
        <f>K7+апрель!L7</f>
        <v>0</v>
      </c>
    </row>
    <row r="8" spans="1:13">
      <c r="A8" s="1">
        <f t="shared" si="1"/>
        <v>6</v>
      </c>
      <c r="B8" s="65" t="str">
        <f>апрель!B8</f>
        <v>Очистка мусоропроводов</v>
      </c>
      <c r="C8" s="8">
        <f>1178.77+7190.54</f>
        <v>8369.31</v>
      </c>
      <c r="D8" s="18">
        <f>C8+апрель!D8</f>
        <v>39847.399999999994</v>
      </c>
      <c r="E8" s="9">
        <f>2212.09+7445.48</f>
        <v>9657.57</v>
      </c>
      <c r="F8" s="18">
        <f>E8+апрель!F8</f>
        <v>38580.29</v>
      </c>
      <c r="G8" s="18">
        <f t="shared" si="0"/>
        <v>1288.2600000000002</v>
      </c>
      <c r="H8" s="20">
        <f t="shared" si="0"/>
        <v>-1267.1099999999933</v>
      </c>
      <c r="I8" s="9"/>
      <c r="J8" s="20">
        <f>I8+апрель!J8</f>
        <v>0</v>
      </c>
      <c r="K8" s="8"/>
      <c r="L8" s="18">
        <f>K8+апрель!L8</f>
        <v>0</v>
      </c>
    </row>
    <row r="9" spans="1:13">
      <c r="A9" s="1">
        <f t="shared" si="1"/>
        <v>7</v>
      </c>
      <c r="B9" s="65" t="str">
        <f>апрель!B9</f>
        <v>Уборка и сан.очистка зем.уч.</v>
      </c>
      <c r="C9" s="8">
        <f>1519.17+9313.94</f>
        <v>10833.11</v>
      </c>
      <c r="D9" s="18">
        <f>C9+апрель!D9</f>
        <v>51760.659999999996</v>
      </c>
      <c r="E9" s="9">
        <f>2695.55+9531.68</f>
        <v>12227.23</v>
      </c>
      <c r="F9" s="18">
        <f>E9+апрель!F9</f>
        <v>49073.09</v>
      </c>
      <c r="G9" s="18">
        <f t="shared" si="0"/>
        <v>1394.119999999999</v>
      </c>
      <c r="H9" s="20">
        <f t="shared" si="0"/>
        <v>-2687.5699999999997</v>
      </c>
      <c r="I9" s="9"/>
      <c r="J9" s="20">
        <f>I9+апрель!J9</f>
        <v>0</v>
      </c>
      <c r="K9" s="8"/>
      <c r="L9" s="18">
        <f>K9+апрель!L9</f>
        <v>0</v>
      </c>
    </row>
    <row r="10" spans="1:13">
      <c r="A10" s="1">
        <f t="shared" si="1"/>
        <v>8</v>
      </c>
      <c r="B10" s="65" t="str">
        <f>апрель!B10</f>
        <v>Электроснабжение(инд.потр)</v>
      </c>
      <c r="C10" s="8">
        <f>14800.32+85471.2</f>
        <v>100271.51999999999</v>
      </c>
      <c r="D10" s="18">
        <f>C10+апрель!D10</f>
        <v>468105.44999999995</v>
      </c>
      <c r="E10" s="9">
        <f>27180.82+83407.69</f>
        <v>110588.51000000001</v>
      </c>
      <c r="F10" s="18">
        <f>E10+апрель!F10</f>
        <v>432124.28</v>
      </c>
      <c r="G10" s="18">
        <f t="shared" si="0"/>
        <v>10316.99000000002</v>
      </c>
      <c r="H10" s="20">
        <f t="shared" si="0"/>
        <v>-35981.169999999925</v>
      </c>
      <c r="I10" s="9"/>
      <c r="J10" s="20">
        <f>I10+апрель!J10</f>
        <v>0</v>
      </c>
      <c r="K10" s="8"/>
      <c r="L10" s="18">
        <f>K10+апрель!L10</f>
        <v>0</v>
      </c>
    </row>
    <row r="11" spans="1:13">
      <c r="A11" s="1">
        <f t="shared" si="1"/>
        <v>9</v>
      </c>
      <c r="B11" s="65" t="str">
        <f>апрель!B11</f>
        <v>Холодная вода</v>
      </c>
      <c r="C11" s="8">
        <f>9547.33+46306.1</f>
        <v>55853.43</v>
      </c>
      <c r="D11" s="18">
        <f>C11+апрель!D11</f>
        <v>264719.43</v>
      </c>
      <c r="E11" s="9">
        <f>18913.52+44305.54</f>
        <v>63219.06</v>
      </c>
      <c r="F11" s="18">
        <f>E11+апрель!F11</f>
        <v>237580.84</v>
      </c>
      <c r="G11" s="18">
        <f t="shared" si="0"/>
        <v>7365.6299999999974</v>
      </c>
      <c r="H11" s="20">
        <f t="shared" si="0"/>
        <v>-27138.589999999997</v>
      </c>
      <c r="I11" s="9"/>
      <c r="J11" s="20">
        <f>I11+апрель!J11</f>
        <v>0</v>
      </c>
      <c r="K11" s="8"/>
      <c r="L11" s="18">
        <f>K11+апрель!L11</f>
        <v>0</v>
      </c>
    </row>
    <row r="12" spans="1:13">
      <c r="A12" s="1">
        <f t="shared" si="1"/>
        <v>10</v>
      </c>
      <c r="B12" s="65" t="str">
        <f>апрель!B12</f>
        <v>Канализирование х.воды</v>
      </c>
      <c r="C12" s="8">
        <v>0</v>
      </c>
      <c r="D12" s="18">
        <f>C12+апрель!D12</f>
        <v>-2210.14</v>
      </c>
      <c r="E12" s="9">
        <v>419.65</v>
      </c>
      <c r="F12" s="18">
        <f>E12+апрель!F12</f>
        <v>419.65</v>
      </c>
      <c r="G12" s="18">
        <f t="shared" si="0"/>
        <v>419.65</v>
      </c>
      <c r="H12" s="20">
        <f t="shared" si="0"/>
        <v>2629.79</v>
      </c>
      <c r="I12" s="9"/>
      <c r="J12" s="20">
        <f>I12+апрель!J12</f>
        <v>0</v>
      </c>
      <c r="K12" s="8"/>
      <c r="L12" s="18">
        <f>K12+апрель!L12</f>
        <v>0</v>
      </c>
    </row>
    <row r="13" spans="1:13">
      <c r="A13" s="1">
        <f t="shared" si="1"/>
        <v>11</v>
      </c>
      <c r="B13" s="65" t="str">
        <f>апрель!B13</f>
        <v>Канализирование г.воды</v>
      </c>
      <c r="C13" s="8">
        <v>0</v>
      </c>
      <c r="D13" s="18">
        <f>C13+апрель!D13</f>
        <v>-1504.92</v>
      </c>
      <c r="E13" s="9">
        <v>94.86</v>
      </c>
      <c r="F13" s="18">
        <f>E13+апрель!F13</f>
        <v>94.86</v>
      </c>
      <c r="G13" s="18">
        <f t="shared" si="0"/>
        <v>94.86</v>
      </c>
      <c r="H13" s="20">
        <f t="shared" si="0"/>
        <v>1599.78</v>
      </c>
      <c r="I13" s="9"/>
      <c r="J13" s="20">
        <f>I13+апрель!J13</f>
        <v>0</v>
      </c>
      <c r="K13" s="8"/>
      <c r="L13" s="18">
        <f>K13+апрель!L13</f>
        <v>0</v>
      </c>
    </row>
    <row r="14" spans="1:13">
      <c r="A14" s="1">
        <f t="shared" si="1"/>
        <v>12</v>
      </c>
      <c r="B14" s="65" t="str">
        <f>апрель!B14</f>
        <v>Тек.ремонт общ.имущ.дома</v>
      </c>
      <c r="C14" s="8">
        <f>5155.16+31606.07</f>
        <v>36761.229999999996</v>
      </c>
      <c r="D14" s="18">
        <f>C14+апрель!D14</f>
        <v>174692.43</v>
      </c>
      <c r="E14" s="9">
        <f>9531.81+32496.64</f>
        <v>42028.45</v>
      </c>
      <c r="F14" s="18">
        <f>E14+апрель!F14</f>
        <v>169708.88</v>
      </c>
      <c r="G14" s="18">
        <f t="shared" si="0"/>
        <v>5267.2200000000012</v>
      </c>
      <c r="H14" s="20">
        <f t="shared" si="0"/>
        <v>-4983.5499999999884</v>
      </c>
      <c r="I14" s="9"/>
      <c r="J14" s="20">
        <f>I14+апрель!J14</f>
        <v>0</v>
      </c>
      <c r="K14" s="8"/>
      <c r="L14" s="18">
        <f>K14+апрель!L14</f>
        <v>0</v>
      </c>
    </row>
    <row r="15" spans="1:13">
      <c r="A15" s="1">
        <f t="shared" si="1"/>
        <v>13</v>
      </c>
      <c r="B15" s="65" t="str">
        <f>апрель!B15</f>
        <v>Управление многокварт.домом</v>
      </c>
      <c r="C15" s="8">
        <f>2133.48+13080.12</f>
        <v>15213.6</v>
      </c>
      <c r="D15" s="18">
        <f>C15+апрель!D15</f>
        <v>73523.520000000004</v>
      </c>
      <c r="E15" s="9">
        <f>3426.9+13240.59</f>
        <v>16667.490000000002</v>
      </c>
      <c r="F15" s="18">
        <f>E15+апрель!F15</f>
        <v>67634.48</v>
      </c>
      <c r="G15" s="18">
        <f t="shared" si="0"/>
        <v>1453.8900000000012</v>
      </c>
      <c r="H15" s="20">
        <f t="shared" si="0"/>
        <v>-5889.0400000000081</v>
      </c>
      <c r="I15" s="9"/>
      <c r="J15" s="20">
        <f>I15+апрель!J15</f>
        <v>0</v>
      </c>
      <c r="K15" s="8"/>
      <c r="L15" s="18">
        <f>K15+апрель!L15</f>
        <v>0</v>
      </c>
    </row>
    <row r="16" spans="1:13">
      <c r="A16" s="1">
        <f t="shared" si="1"/>
        <v>14</v>
      </c>
      <c r="B16" s="65" t="str">
        <f>апрель!B16</f>
        <v>Водоотведение (кв)</v>
      </c>
      <c r="C16" s="8">
        <f>16303.36+78888.37</f>
        <v>95191.73</v>
      </c>
      <c r="D16" s="18">
        <f>C16+апрель!D16</f>
        <v>454243.48999999993</v>
      </c>
      <c r="E16" s="9">
        <f>31905.84+75843.4</f>
        <v>107749.23999999999</v>
      </c>
      <c r="F16" s="18">
        <f>E16+апрель!F16</f>
        <v>406639.96</v>
      </c>
      <c r="G16" s="18">
        <f t="shared" si="0"/>
        <v>12557.509999999995</v>
      </c>
      <c r="H16" s="20">
        <f t="shared" si="0"/>
        <v>-47603.529999999912</v>
      </c>
      <c r="I16" s="9"/>
      <c r="J16" s="20">
        <f>I16+апрель!J16</f>
        <v>0</v>
      </c>
      <c r="K16" s="8"/>
      <c r="L16" s="18">
        <f>K16+апрель!L16</f>
        <v>0</v>
      </c>
    </row>
    <row r="17" spans="1:12">
      <c r="A17" s="1">
        <f t="shared" si="1"/>
        <v>15</v>
      </c>
      <c r="B17" s="65" t="str">
        <f>апрель!B17</f>
        <v>Эксплуатация общедомовых ПУ</v>
      </c>
      <c r="C17" s="8">
        <f>547.9+3359.15</f>
        <v>3907.05</v>
      </c>
      <c r="D17" s="18">
        <f>C17+апрель!D17</f>
        <v>18395.82</v>
      </c>
      <c r="E17" s="9">
        <f>1060.79+3460.39</f>
        <v>4521.18</v>
      </c>
      <c r="F17" s="18">
        <f>E17+апрель!F17</f>
        <v>18102.099999999999</v>
      </c>
      <c r="G17" s="18">
        <f t="shared" si="0"/>
        <v>614.13000000000011</v>
      </c>
      <c r="H17" s="20">
        <f t="shared" si="0"/>
        <v>-293.72000000000116</v>
      </c>
      <c r="I17" s="9"/>
      <c r="J17" s="20">
        <f>I17+апрель!J17</f>
        <v>0</v>
      </c>
      <c r="K17" s="8"/>
      <c r="L17" s="18">
        <f>K17+апрель!L17</f>
        <v>0</v>
      </c>
    </row>
    <row r="18" spans="1:12" ht="16.5" customHeight="1">
      <c r="A18" s="1">
        <f t="shared" si="1"/>
        <v>16</v>
      </c>
      <c r="B18" s="65" t="str">
        <f>апрель!B18</f>
        <v>Хол.водоснабжение(о/д нужды)</v>
      </c>
      <c r="C18" s="8">
        <f>246.11+1511</f>
        <v>1757.1100000000001</v>
      </c>
      <c r="D18" s="18">
        <f>C18+апрель!D18</f>
        <v>8076.35</v>
      </c>
      <c r="E18" s="9">
        <f>749.53+2002.02</f>
        <v>2751.55</v>
      </c>
      <c r="F18" s="18">
        <f>E18+апрель!F18</f>
        <v>11417.96</v>
      </c>
      <c r="G18" s="18">
        <f t="shared" si="0"/>
        <v>994.44</v>
      </c>
      <c r="H18" s="20">
        <f t="shared" si="0"/>
        <v>3341.6099999999988</v>
      </c>
      <c r="I18" s="9"/>
      <c r="J18" s="20">
        <f>I18+апрель!J18</f>
        <v>0</v>
      </c>
      <c r="K18" s="8"/>
      <c r="L18" s="18">
        <f>K18+апрель!L18</f>
        <v>0</v>
      </c>
    </row>
    <row r="19" spans="1:12">
      <c r="A19" s="1">
        <f t="shared" si="1"/>
        <v>17</v>
      </c>
      <c r="B19" s="65" t="str">
        <f>апрель!B19</f>
        <v>Водоотведение(о/д нужды)</v>
      </c>
      <c r="C19" s="8">
        <v>0</v>
      </c>
      <c r="D19" s="18">
        <f>C19+апрель!D19</f>
        <v>-190.85</v>
      </c>
      <c r="E19" s="9">
        <v>0</v>
      </c>
      <c r="F19" s="18">
        <f>E19+апрель!F19</f>
        <v>135.74</v>
      </c>
      <c r="G19" s="18">
        <f t="shared" si="0"/>
        <v>0</v>
      </c>
      <c r="H19" s="20">
        <f t="shared" si="0"/>
        <v>326.59000000000003</v>
      </c>
      <c r="I19" s="9"/>
      <c r="J19" s="20">
        <f>I19+апрель!J19</f>
        <v>0</v>
      </c>
      <c r="K19" s="8"/>
      <c r="L19" s="18">
        <f>K19+апрель!L19</f>
        <v>0</v>
      </c>
    </row>
    <row r="20" spans="1:12">
      <c r="A20" s="1">
        <f t="shared" si="1"/>
        <v>18</v>
      </c>
      <c r="B20" s="65" t="str">
        <f>апрель!B20</f>
        <v>Отопление (о/д нужды)</v>
      </c>
      <c r="C20" s="8">
        <v>0</v>
      </c>
      <c r="D20" s="18">
        <f>C20+апрель!D20</f>
        <v>-848.48</v>
      </c>
      <c r="E20" s="9">
        <v>0</v>
      </c>
      <c r="F20" s="18">
        <f>E20+апрель!F20</f>
        <v>643.94000000000005</v>
      </c>
      <c r="G20" s="18">
        <f t="shared" si="0"/>
        <v>0</v>
      </c>
      <c r="H20" s="20">
        <f t="shared" si="0"/>
        <v>1492.42</v>
      </c>
      <c r="I20" s="9"/>
      <c r="J20" s="20">
        <f>I20+апрель!J20</f>
        <v>0</v>
      </c>
      <c r="K20" s="8"/>
      <c r="L20" s="18">
        <f>K20+апрель!L20</f>
        <v>0</v>
      </c>
    </row>
    <row r="21" spans="1:12" ht="14.25" customHeight="1">
      <c r="A21" s="1">
        <f t="shared" si="1"/>
        <v>19</v>
      </c>
      <c r="B21" s="65" t="str">
        <f>апрель!B21</f>
        <v>Электроснабжение(оющед.нужд)</v>
      </c>
      <c r="C21" s="8">
        <f>3085.99+18920.15</f>
        <v>22006.14</v>
      </c>
      <c r="D21" s="18">
        <f>C21+апрель!D21</f>
        <v>231810.67000000004</v>
      </c>
      <c r="E21" s="9">
        <f>13929.58+48013.14</f>
        <v>61942.720000000001</v>
      </c>
      <c r="F21" s="18">
        <f>E21+апрель!F21</f>
        <v>233836.53</v>
      </c>
      <c r="G21" s="18">
        <f t="shared" si="0"/>
        <v>39936.58</v>
      </c>
      <c r="H21" s="20">
        <f t="shared" si="0"/>
        <v>2025.8599999999569</v>
      </c>
      <c r="I21" s="9"/>
      <c r="J21" s="20">
        <f>I21+апрель!J21</f>
        <v>0</v>
      </c>
      <c r="K21" s="8"/>
      <c r="L21" s="18">
        <f>K21+апрель!L21</f>
        <v>0</v>
      </c>
    </row>
    <row r="22" spans="1:12" ht="15" customHeight="1">
      <c r="A22" s="1">
        <f t="shared" si="1"/>
        <v>20</v>
      </c>
      <c r="B22" s="65" t="str">
        <f>апрель!B22</f>
        <v>Горячее водоснабжение(о/д нужды)</v>
      </c>
      <c r="C22" s="8">
        <f>543.9+3354.02+3413.61</f>
        <v>7311.5300000000007</v>
      </c>
      <c r="D22" s="18">
        <f>C22+апрель!D22</f>
        <v>25732.160000000003</v>
      </c>
      <c r="E22" s="9">
        <f>972.1+3752.28+4518.89</f>
        <v>9243.27</v>
      </c>
      <c r="F22" s="18">
        <f>E22+апрель!F22</f>
        <v>30113.05</v>
      </c>
      <c r="G22" s="18">
        <f t="shared" si="0"/>
        <v>1931.7399999999998</v>
      </c>
      <c r="H22" s="20">
        <f t="shared" si="0"/>
        <v>4380.8899999999958</v>
      </c>
      <c r="I22" s="9"/>
      <c r="J22" s="20">
        <f>I22+апрель!J22</f>
        <v>0</v>
      </c>
      <c r="K22" s="8"/>
      <c r="L22" s="18">
        <f>K22+апрель!L22</f>
        <v>0</v>
      </c>
    </row>
    <row r="23" spans="1:12">
      <c r="A23" s="22"/>
      <c r="B23" s="73" t="s">
        <v>12</v>
      </c>
      <c r="C23" s="23">
        <f t="shared" ref="C23:L23" si="2">SUM(C3:C22)</f>
        <v>660192.7300000001</v>
      </c>
      <c r="D23" s="18">
        <f t="shared" si="2"/>
        <v>4003622.61</v>
      </c>
      <c r="E23" s="24">
        <f t="shared" si="2"/>
        <v>937074.08000000019</v>
      </c>
      <c r="F23" s="18">
        <f t="shared" si="2"/>
        <v>3787751.6599999992</v>
      </c>
      <c r="G23" s="18">
        <f t="shared" si="2"/>
        <v>276881.34999999998</v>
      </c>
      <c r="H23" s="20">
        <f t="shared" si="2"/>
        <v>-215870.94999999992</v>
      </c>
      <c r="I23" s="20">
        <f t="shared" si="2"/>
        <v>0</v>
      </c>
      <c r="J23" s="20">
        <f t="shared" si="2"/>
        <v>0</v>
      </c>
      <c r="K23" s="18">
        <f t="shared" si="2"/>
        <v>0</v>
      </c>
      <c r="L23" s="18">
        <f t="shared" si="2"/>
        <v>0</v>
      </c>
    </row>
    <row r="24" spans="1:12" ht="17.25" customHeight="1"/>
    <row r="25" spans="1:12" ht="16.5" customHeight="1">
      <c r="B25" s="41" t="s">
        <v>36</v>
      </c>
      <c r="C25" s="9">
        <f t="shared" ref="C25:H25" si="3">C3+C6+C7+C8+C9+C14+C15+C17</f>
        <v>161051.93</v>
      </c>
      <c r="D25" s="9">
        <f t="shared" si="3"/>
        <v>785613.0199999999</v>
      </c>
      <c r="E25" s="9">
        <f t="shared" si="3"/>
        <v>185806.58999999997</v>
      </c>
      <c r="F25" s="9">
        <f t="shared" si="3"/>
        <v>756649.1</v>
      </c>
      <c r="G25" s="9">
        <f t="shared" si="3"/>
        <v>24754.659999999993</v>
      </c>
      <c r="H25" s="9">
        <f t="shared" si="3"/>
        <v>-28963.919999999973</v>
      </c>
    </row>
    <row r="26" spans="1:12" ht="16.5" customHeight="1"/>
    <row r="27" spans="1:12" ht="16.5" customHeight="1"/>
    <row r="28" spans="1:12" ht="16.5" customHeight="1">
      <c r="B28" s="1" t="s">
        <v>38</v>
      </c>
      <c r="C28" s="9">
        <f>C11+C12+C13+C16+C18+C19</f>
        <v>152802.26999999999</v>
      </c>
      <c r="D28" s="9">
        <f t="shared" ref="D28:J28" si="4">D11+D12+D13+D16+D18+D19</f>
        <v>723133.35999999987</v>
      </c>
      <c r="E28" s="9">
        <f t="shared" si="4"/>
        <v>174234.36</v>
      </c>
      <c r="F28" s="9">
        <f t="shared" si="4"/>
        <v>656289.01</v>
      </c>
      <c r="G28" s="9">
        <f t="shared" si="4"/>
        <v>21432.089999999989</v>
      </c>
      <c r="H28" s="9">
        <f t="shared" si="4"/>
        <v>-66844.349999999904</v>
      </c>
      <c r="I28" s="9">
        <f t="shared" si="4"/>
        <v>0</v>
      </c>
      <c r="J28" s="9">
        <f t="shared" si="4"/>
        <v>0</v>
      </c>
    </row>
    <row r="29" spans="1:12">
      <c r="B29" s="1" t="s">
        <v>39</v>
      </c>
      <c r="C29" s="9">
        <f>C10+C21</f>
        <v>122277.65999999999</v>
      </c>
      <c r="D29" s="9">
        <f t="shared" ref="D29:J29" si="5">D10+D21</f>
        <v>699916.12</v>
      </c>
      <c r="E29" s="9">
        <f t="shared" si="5"/>
        <v>172531.23</v>
      </c>
      <c r="F29" s="9">
        <f t="shared" si="5"/>
        <v>665960.81000000006</v>
      </c>
      <c r="G29" s="9">
        <f t="shared" si="5"/>
        <v>50253.570000000022</v>
      </c>
      <c r="H29" s="9">
        <f t="shared" si="5"/>
        <v>-33955.309999999969</v>
      </c>
      <c r="I29" s="9">
        <f t="shared" si="5"/>
        <v>0</v>
      </c>
      <c r="J29" s="9">
        <f t="shared" si="5"/>
        <v>0</v>
      </c>
    </row>
    <row r="30" spans="1:12">
      <c r="B30" s="1" t="s">
        <v>40</v>
      </c>
      <c r="C30" s="9">
        <f>C4+C5+C20+C22</f>
        <v>224060.87</v>
      </c>
      <c r="D30" s="9">
        <f t="shared" ref="D30:J30" si="6">D4+D5+D20+D22</f>
        <v>1794960.11</v>
      </c>
      <c r="E30" s="9">
        <f t="shared" si="6"/>
        <v>404501.9</v>
      </c>
      <c r="F30" s="9">
        <f t="shared" si="6"/>
        <v>1708852.74</v>
      </c>
      <c r="G30" s="9">
        <f t="shared" si="6"/>
        <v>180441.02999999997</v>
      </c>
      <c r="H30" s="9">
        <f t="shared" si="6"/>
        <v>-86107.370000000054</v>
      </c>
      <c r="I30" s="9">
        <f t="shared" si="6"/>
        <v>0</v>
      </c>
      <c r="J30" s="9">
        <f t="shared" si="6"/>
        <v>0</v>
      </c>
    </row>
    <row r="33" spans="3:11">
      <c r="C33">
        <f>101995.76+558196.97</f>
        <v>660192.73</v>
      </c>
      <c r="E33">
        <f>224538.03+712536.05</f>
        <v>937074.08000000007</v>
      </c>
    </row>
    <row r="36" spans="3:11">
      <c r="J36" s="11"/>
      <c r="K36" s="11"/>
    </row>
  </sheetData>
  <phoneticPr fontId="0" type="noConversion"/>
  <pageMargins left="0" right="0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E34" sqref="E34"/>
    </sheetView>
  </sheetViews>
  <sheetFormatPr defaultRowHeight="12.75"/>
  <cols>
    <col min="1" max="1" width="4.140625" style="10" customWidth="1"/>
    <col min="2" max="2" width="33.5703125" style="36" customWidth="1"/>
    <col min="3" max="3" width="14.140625" customWidth="1"/>
    <col min="4" max="4" width="13.140625" customWidth="1"/>
    <col min="5" max="5" width="14.5703125" customWidth="1"/>
    <col min="6" max="6" width="12" customWidth="1"/>
    <col min="7" max="7" width="11.140625" customWidth="1"/>
    <col min="8" max="8" width="11.42578125" customWidth="1"/>
    <col min="9" max="9" width="10.140625" bestFit="1" customWidth="1"/>
    <col min="10" max="10" width="11" customWidth="1"/>
    <col min="11" max="11" width="10.140625" customWidth="1"/>
    <col min="12" max="12" width="12.140625" customWidth="1"/>
    <col min="13" max="13" width="10.7109375" bestFit="1" customWidth="1"/>
  </cols>
  <sheetData>
    <row r="1" spans="1:13" ht="24.75" customHeight="1">
      <c r="B1" s="12" t="s">
        <v>18</v>
      </c>
      <c r="D1" s="75" t="s">
        <v>47</v>
      </c>
      <c r="F1" s="11"/>
      <c r="H1" s="12"/>
    </row>
    <row r="2" spans="1:13" s="32" customFormat="1" ht="25.5">
      <c r="A2" s="31" t="s">
        <v>0</v>
      </c>
      <c r="B2" s="37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>
      <c r="A3" s="1">
        <v>1</v>
      </c>
      <c r="B3" s="34" t="str">
        <f>май!B3</f>
        <v>Содержание общ.имущ.дома</v>
      </c>
      <c r="C3" s="8">
        <f>9878.69+60401.8</f>
        <v>70280.490000000005</v>
      </c>
      <c r="D3" s="18">
        <f>C3+май!D3</f>
        <v>405051.49</v>
      </c>
      <c r="E3" s="9">
        <f>6578.13+57016.44</f>
        <v>63594.57</v>
      </c>
      <c r="F3" s="18">
        <f>E3+май!F3</f>
        <v>384223.08</v>
      </c>
      <c r="G3" s="18">
        <f>E3-C3</f>
        <v>-6685.9200000000055</v>
      </c>
      <c r="H3" s="20">
        <f>F3-D3</f>
        <v>-20828.409999999974</v>
      </c>
      <c r="I3" s="9"/>
      <c r="J3" s="20">
        <f>I3+май!J3</f>
        <v>0</v>
      </c>
      <c r="K3" s="8"/>
      <c r="L3" s="18">
        <f>K3+май!L3</f>
        <v>0</v>
      </c>
    </row>
    <row r="4" spans="1:13">
      <c r="A4" s="1">
        <f>A3+1</f>
        <v>2</v>
      </c>
      <c r="B4" s="34" t="str">
        <f>май!B4</f>
        <v>Отопление</v>
      </c>
      <c r="C4" s="8">
        <v>0</v>
      </c>
      <c r="D4" s="18">
        <f>C4+май!D4</f>
        <v>1096799.26</v>
      </c>
      <c r="E4" s="9">
        <f>14055.29+98284.63</f>
        <v>112339.92000000001</v>
      </c>
      <c r="F4" s="18">
        <f>E4+май!F4</f>
        <v>1190420.3499999999</v>
      </c>
      <c r="G4" s="18">
        <f t="shared" ref="G4:H22" si="0">E4-C4</f>
        <v>112339.92000000001</v>
      </c>
      <c r="H4" s="20">
        <f t="shared" si="0"/>
        <v>93621.089999999851</v>
      </c>
      <c r="I4" s="9"/>
      <c r="J4" s="20">
        <f>I4+май!J4</f>
        <v>0</v>
      </c>
      <c r="K4" s="8"/>
      <c r="L4" s="18">
        <f>K4+май!L4</f>
        <v>0</v>
      </c>
      <c r="M4" s="25"/>
    </row>
    <row r="5" spans="1:13">
      <c r="A5" s="1">
        <f t="shared" ref="A5:A22" si="1">A4+1</f>
        <v>3</v>
      </c>
      <c r="B5" s="34" t="str">
        <f>май!B5</f>
        <v>Горячее водоснабжение</v>
      </c>
      <c r="C5" s="8">
        <f>24310.85+118997.07</f>
        <v>143307.92000000001</v>
      </c>
      <c r="D5" s="18">
        <f>C5+май!D5</f>
        <v>816585.09000000008</v>
      </c>
      <c r="E5" s="9">
        <f>19956.57+108625.39</f>
        <v>128581.95999999999</v>
      </c>
      <c r="F5" s="18">
        <f>E5+май!F5</f>
        <v>728597.28</v>
      </c>
      <c r="G5" s="18">
        <f t="shared" si="0"/>
        <v>-14725.960000000021</v>
      </c>
      <c r="H5" s="20">
        <f t="shared" si="0"/>
        <v>-87987.810000000056</v>
      </c>
      <c r="I5" s="9"/>
      <c r="J5" s="20">
        <f>I5+май!J5</f>
        <v>0</v>
      </c>
      <c r="K5" s="8"/>
      <c r="L5" s="18">
        <f>K5+май!L5</f>
        <v>0</v>
      </c>
    </row>
    <row r="6" spans="1:13">
      <c r="A6" s="1">
        <f t="shared" si="1"/>
        <v>4</v>
      </c>
      <c r="B6" s="34" t="str">
        <f>май!B6</f>
        <v>Сод.и ремонт АППЗ</v>
      </c>
      <c r="C6" s="8">
        <f>365.24+2239.39</f>
        <v>2604.63</v>
      </c>
      <c r="D6" s="18">
        <f>C6+май!D6</f>
        <v>14922.11</v>
      </c>
      <c r="E6" s="9">
        <f>247.15+2162.6</f>
        <v>2409.75</v>
      </c>
      <c r="F6" s="18">
        <f>E6+май!F6</f>
        <v>14458.75</v>
      </c>
      <c r="G6" s="18">
        <f t="shared" si="0"/>
        <v>-194.88000000000011</v>
      </c>
      <c r="H6" s="20">
        <f t="shared" si="0"/>
        <v>-463.36000000000058</v>
      </c>
      <c r="I6" s="9"/>
      <c r="J6" s="20">
        <f>I6+май!J6</f>
        <v>0</v>
      </c>
      <c r="K6" s="8"/>
      <c r="L6" s="18">
        <f>K6+май!L6</f>
        <v>0</v>
      </c>
    </row>
    <row r="7" spans="1:13">
      <c r="A7" s="1">
        <f t="shared" si="1"/>
        <v>5</v>
      </c>
      <c r="B7" s="34" t="str">
        <f>май!B7</f>
        <v>Сод.и ремонт лифтов</v>
      </c>
      <c r="C7" s="8">
        <f>1834.6+11247.91</f>
        <v>13082.51</v>
      </c>
      <c r="D7" s="18">
        <f>C7+май!D7</f>
        <v>93387.219999999987</v>
      </c>
      <c r="E7" s="9">
        <f>1400.06+11715.04</f>
        <v>13115.1</v>
      </c>
      <c r="F7" s="18">
        <f>E7+май!F7</f>
        <v>93987.85</v>
      </c>
      <c r="G7" s="18">
        <f t="shared" si="0"/>
        <v>32.590000000000146</v>
      </c>
      <c r="H7" s="20">
        <f t="shared" si="0"/>
        <v>600.63000000001921</v>
      </c>
      <c r="I7" s="9"/>
      <c r="J7" s="20">
        <f>I7+май!J7</f>
        <v>0</v>
      </c>
      <c r="K7" s="8"/>
      <c r="L7" s="18">
        <f>K7+май!L7</f>
        <v>0</v>
      </c>
    </row>
    <row r="8" spans="1:13">
      <c r="A8" s="1">
        <f t="shared" si="1"/>
        <v>6</v>
      </c>
      <c r="B8" s="34" t="str">
        <f>май!B8</f>
        <v>Очистка мусоропроводов</v>
      </c>
      <c r="C8" s="8">
        <f>1178.77+7190.54</f>
        <v>8369.31</v>
      </c>
      <c r="D8" s="18">
        <f>C8+май!D8</f>
        <v>48216.709999999992</v>
      </c>
      <c r="E8" s="9">
        <f>785.22+6832.12</f>
        <v>7617.34</v>
      </c>
      <c r="F8" s="18">
        <f>E8+май!F8</f>
        <v>46197.630000000005</v>
      </c>
      <c r="G8" s="18">
        <f t="shared" si="0"/>
        <v>-751.96999999999935</v>
      </c>
      <c r="H8" s="20">
        <f t="shared" si="0"/>
        <v>-2019.0799999999872</v>
      </c>
      <c r="I8" s="9"/>
      <c r="J8" s="20">
        <f>I8+май!J8</f>
        <v>0</v>
      </c>
      <c r="K8" s="8"/>
      <c r="L8" s="18">
        <f>K8+май!L8</f>
        <v>0</v>
      </c>
    </row>
    <row r="9" spans="1:13">
      <c r="A9" s="1">
        <f t="shared" si="1"/>
        <v>7</v>
      </c>
      <c r="B9" s="34" t="str">
        <f>май!B9</f>
        <v>Уборка и сан.очистка зем.уч.</v>
      </c>
      <c r="C9" s="8">
        <f>1519.17+9313.94</f>
        <v>10833.11</v>
      </c>
      <c r="D9" s="18">
        <f>C9+май!D9</f>
        <v>62593.77</v>
      </c>
      <c r="E9" s="9">
        <f>1014.13+8670.73</f>
        <v>9684.8599999999988</v>
      </c>
      <c r="F9" s="18">
        <f>E9+май!F9</f>
        <v>58757.95</v>
      </c>
      <c r="G9" s="18">
        <f t="shared" si="0"/>
        <v>-1148.2500000000018</v>
      </c>
      <c r="H9" s="20">
        <f t="shared" si="0"/>
        <v>-3835.8199999999997</v>
      </c>
      <c r="I9" s="9"/>
      <c r="J9" s="20">
        <f>I9+май!J9</f>
        <v>0</v>
      </c>
      <c r="K9" s="8"/>
      <c r="L9" s="18">
        <f>K9+май!L9</f>
        <v>0</v>
      </c>
    </row>
    <row r="10" spans="1:13">
      <c r="A10" s="1">
        <f t="shared" si="1"/>
        <v>8</v>
      </c>
      <c r="B10" s="34" t="str">
        <f>май!B10</f>
        <v>Электроснабжение(инд.потр)</v>
      </c>
      <c r="C10" s="8">
        <f>14800.32+85435.56</f>
        <v>100235.88</v>
      </c>
      <c r="D10" s="18">
        <f>C10+май!D10</f>
        <v>568341.32999999996</v>
      </c>
      <c r="E10" s="9">
        <f>10426.44+79873.59</f>
        <v>90300.03</v>
      </c>
      <c r="F10" s="18">
        <f>E10+май!F10</f>
        <v>522424.31000000006</v>
      </c>
      <c r="G10" s="18">
        <f t="shared" si="0"/>
        <v>-9935.8500000000058</v>
      </c>
      <c r="H10" s="20">
        <f t="shared" si="0"/>
        <v>-45917.019999999902</v>
      </c>
      <c r="I10" s="9"/>
      <c r="J10" s="20">
        <f>I10+май!J10</f>
        <v>0</v>
      </c>
      <c r="K10" s="8"/>
      <c r="L10" s="18">
        <f>K10+май!L10</f>
        <v>0</v>
      </c>
    </row>
    <row r="11" spans="1:13">
      <c r="A11" s="1">
        <f t="shared" si="1"/>
        <v>9</v>
      </c>
      <c r="B11" s="34" t="str">
        <f>май!B11</f>
        <v>Холодная вода</v>
      </c>
      <c r="C11" s="8">
        <f>9547.33+46739.95</f>
        <v>56287.28</v>
      </c>
      <c r="D11" s="18">
        <f>C11+май!D11</f>
        <v>321006.70999999996</v>
      </c>
      <c r="E11" s="9">
        <f>7935.37+43597.03</f>
        <v>51532.4</v>
      </c>
      <c r="F11" s="18">
        <f>E11+май!F11</f>
        <v>289113.24</v>
      </c>
      <c r="G11" s="18">
        <f t="shared" si="0"/>
        <v>-4754.8799999999974</v>
      </c>
      <c r="H11" s="20">
        <f t="shared" si="0"/>
        <v>-31893.469999999972</v>
      </c>
      <c r="I11" s="9"/>
      <c r="J11" s="20">
        <f>I11+май!J11</f>
        <v>0</v>
      </c>
      <c r="K11" s="8"/>
      <c r="L11" s="18">
        <f>K11+май!L11</f>
        <v>0</v>
      </c>
    </row>
    <row r="12" spans="1:13">
      <c r="A12" s="1">
        <f t="shared" si="1"/>
        <v>10</v>
      </c>
      <c r="B12" s="34" t="str">
        <f>май!B12</f>
        <v>Канализирование х.воды</v>
      </c>
      <c r="C12" s="8">
        <v>0</v>
      </c>
      <c r="D12" s="18">
        <f>C12+май!D12</f>
        <v>-2210.14</v>
      </c>
      <c r="E12" s="9">
        <v>314.83</v>
      </c>
      <c r="F12" s="18">
        <f>E12+май!F12</f>
        <v>734.48</v>
      </c>
      <c r="G12" s="18">
        <f t="shared" si="0"/>
        <v>314.83</v>
      </c>
      <c r="H12" s="20">
        <f t="shared" si="0"/>
        <v>2944.62</v>
      </c>
      <c r="I12" s="9"/>
      <c r="J12" s="20">
        <f>I12+май!J12</f>
        <v>0</v>
      </c>
      <c r="K12" s="8"/>
      <c r="L12" s="18">
        <f>K12+май!L12</f>
        <v>0</v>
      </c>
    </row>
    <row r="13" spans="1:13">
      <c r="A13" s="1">
        <f t="shared" si="1"/>
        <v>11</v>
      </c>
      <c r="B13" s="34" t="str">
        <f>май!B13</f>
        <v>Канализирование г.воды</v>
      </c>
      <c r="C13" s="8">
        <v>0</v>
      </c>
      <c r="D13" s="18">
        <f>C13+май!D13</f>
        <v>-1504.92</v>
      </c>
      <c r="E13" s="9">
        <v>214.86</v>
      </c>
      <c r="F13" s="18">
        <f>E13+май!F13</f>
        <v>309.72000000000003</v>
      </c>
      <c r="G13" s="18">
        <f t="shared" si="0"/>
        <v>214.86</v>
      </c>
      <c r="H13" s="20">
        <f t="shared" si="0"/>
        <v>1814.64</v>
      </c>
      <c r="I13" s="9"/>
      <c r="J13" s="20">
        <f>I13+май!J13</f>
        <v>0</v>
      </c>
      <c r="K13" s="8"/>
      <c r="L13" s="18">
        <f>K13+май!L13</f>
        <v>0</v>
      </c>
    </row>
    <row r="14" spans="1:13">
      <c r="A14" s="1">
        <f t="shared" si="1"/>
        <v>12</v>
      </c>
      <c r="B14" s="34" t="str">
        <f>май!B14</f>
        <v>Тек.ремонт общ.имущ.дома</v>
      </c>
      <c r="C14" s="8">
        <f>5155.16+31606.07</f>
        <v>36761.229999999996</v>
      </c>
      <c r="D14" s="18">
        <f>C14+май!D14</f>
        <v>211453.65999999997</v>
      </c>
      <c r="E14" s="9">
        <f>3468.7+31335.65</f>
        <v>34804.35</v>
      </c>
      <c r="F14" s="18">
        <f>E14+май!F14</f>
        <v>204513.23</v>
      </c>
      <c r="G14" s="18">
        <f t="shared" si="0"/>
        <v>-1956.8799999999974</v>
      </c>
      <c r="H14" s="20">
        <f t="shared" si="0"/>
        <v>-6940.4299999999639</v>
      </c>
      <c r="I14" s="9"/>
      <c r="J14" s="20">
        <f>I14+май!J14</f>
        <v>0</v>
      </c>
      <c r="K14" s="8"/>
      <c r="L14" s="18">
        <f>K14+май!L14</f>
        <v>0</v>
      </c>
    </row>
    <row r="15" spans="1:13">
      <c r="A15" s="1">
        <f t="shared" si="1"/>
        <v>13</v>
      </c>
      <c r="B15" s="34" t="str">
        <f>май!B15</f>
        <v>Управление многокварт.домом</v>
      </c>
      <c r="C15" s="8">
        <f>2133.48+13080.12</f>
        <v>15213.6</v>
      </c>
      <c r="D15" s="18">
        <f>C15+май!D15</f>
        <v>88737.12000000001</v>
      </c>
      <c r="E15" s="9">
        <f>1393.85+11730.54</f>
        <v>13124.390000000001</v>
      </c>
      <c r="F15" s="18">
        <f>E15+май!F15</f>
        <v>80758.87</v>
      </c>
      <c r="G15" s="18">
        <f t="shared" si="0"/>
        <v>-2089.2099999999991</v>
      </c>
      <c r="H15" s="20">
        <f t="shared" si="0"/>
        <v>-7978.2500000000146</v>
      </c>
      <c r="I15" s="9"/>
      <c r="J15" s="20">
        <f>I15+май!J15</f>
        <v>0</v>
      </c>
      <c r="K15" s="8"/>
      <c r="L15" s="18">
        <f>K15+май!L15</f>
        <v>0</v>
      </c>
    </row>
    <row r="16" spans="1:13">
      <c r="A16" s="1">
        <f t="shared" si="1"/>
        <v>14</v>
      </c>
      <c r="B16" s="34" t="str">
        <f>май!B16</f>
        <v>Водоотведение (кв)</v>
      </c>
      <c r="C16" s="8">
        <f>16303.36+79809.52</f>
        <v>96112.88</v>
      </c>
      <c r="D16" s="18">
        <f>C16+май!D16</f>
        <v>550356.36999999988</v>
      </c>
      <c r="E16" s="9">
        <f>12915.22+75763.96</f>
        <v>88679.180000000008</v>
      </c>
      <c r="F16" s="18">
        <f>E16+май!F16</f>
        <v>495319.14</v>
      </c>
      <c r="G16" s="18">
        <f t="shared" si="0"/>
        <v>-7433.6999999999971</v>
      </c>
      <c r="H16" s="20">
        <f t="shared" si="0"/>
        <v>-55037.229999999865</v>
      </c>
      <c r="I16" s="9"/>
      <c r="J16" s="20">
        <f>I16+май!J16</f>
        <v>0</v>
      </c>
      <c r="K16" s="8"/>
      <c r="L16" s="18">
        <f>K16+май!L16</f>
        <v>0</v>
      </c>
    </row>
    <row r="17" spans="1:12">
      <c r="A17" s="1">
        <f t="shared" si="1"/>
        <v>15</v>
      </c>
      <c r="B17" s="34" t="str">
        <f>май!B17</f>
        <v>Эксплуатация общедомовых ПУ</v>
      </c>
      <c r="C17" s="8">
        <f>547.9+3359.15</f>
        <v>3907.05</v>
      </c>
      <c r="D17" s="18">
        <f>C17+май!D17</f>
        <v>22302.87</v>
      </c>
      <c r="E17" s="9">
        <f>344.37+3340.57</f>
        <v>3684.94</v>
      </c>
      <c r="F17" s="18">
        <f>E17+май!F17</f>
        <v>21787.039999999997</v>
      </c>
      <c r="G17" s="18">
        <f t="shared" si="0"/>
        <v>-222.11000000000013</v>
      </c>
      <c r="H17" s="20">
        <f t="shared" si="0"/>
        <v>-515.83000000000175</v>
      </c>
      <c r="I17" s="9"/>
      <c r="J17" s="20">
        <f>I17+май!J17</f>
        <v>0</v>
      </c>
      <c r="K17" s="8"/>
      <c r="L17" s="18">
        <f>K17+май!L17</f>
        <v>0</v>
      </c>
    </row>
    <row r="18" spans="1:12">
      <c r="A18" s="1">
        <f t="shared" si="1"/>
        <v>16</v>
      </c>
      <c r="B18" s="34" t="str">
        <f>май!B18</f>
        <v>Хол.водоснабжение(о/д нужды)</v>
      </c>
      <c r="C18" s="8">
        <f>246.11+1511</f>
        <v>1757.1100000000001</v>
      </c>
      <c r="D18" s="18">
        <f>C18+май!D18</f>
        <v>9833.4600000000009</v>
      </c>
      <c r="E18" s="9">
        <f>216.61+1317.09</f>
        <v>1533.6999999999998</v>
      </c>
      <c r="F18" s="18">
        <f>E18+май!F18</f>
        <v>12951.66</v>
      </c>
      <c r="G18" s="18">
        <f t="shared" si="0"/>
        <v>-223.41000000000031</v>
      </c>
      <c r="H18" s="20">
        <f t="shared" si="0"/>
        <v>3118.1999999999989</v>
      </c>
      <c r="I18" s="9"/>
      <c r="J18" s="20">
        <f>I18+май!J18</f>
        <v>0</v>
      </c>
      <c r="K18" s="8"/>
      <c r="L18" s="18">
        <f>K18+май!L18</f>
        <v>0</v>
      </c>
    </row>
    <row r="19" spans="1:12">
      <c r="A19" s="1">
        <f t="shared" si="1"/>
        <v>17</v>
      </c>
      <c r="B19" s="34" t="str">
        <f>май!B19</f>
        <v>Водоотведение(о/д нужды)</v>
      </c>
      <c r="C19" s="8">
        <v>0</v>
      </c>
      <c r="D19" s="18">
        <f>C19+май!D19</f>
        <v>-190.85</v>
      </c>
      <c r="E19" s="9">
        <v>87.34</v>
      </c>
      <c r="F19" s="18">
        <f>E19+май!F19</f>
        <v>223.08</v>
      </c>
      <c r="G19" s="18">
        <f t="shared" si="0"/>
        <v>87.34</v>
      </c>
      <c r="H19" s="20">
        <f t="shared" si="0"/>
        <v>413.93</v>
      </c>
      <c r="I19" s="9"/>
      <c r="J19" s="20">
        <f>I19+май!J19</f>
        <v>0</v>
      </c>
      <c r="K19" s="8"/>
      <c r="L19" s="18">
        <f>K19+май!L19</f>
        <v>0</v>
      </c>
    </row>
    <row r="20" spans="1:12">
      <c r="A20" s="1">
        <f t="shared" si="1"/>
        <v>18</v>
      </c>
      <c r="B20" s="34" t="str">
        <f>май!B20</f>
        <v>Отопление (о/д нужды)</v>
      </c>
      <c r="C20" s="8">
        <v>0</v>
      </c>
      <c r="D20" s="18">
        <f>C20+май!D20</f>
        <v>-848.48</v>
      </c>
      <c r="E20" s="9">
        <v>142.66999999999999</v>
      </c>
      <c r="F20" s="18">
        <f>E20+май!F20</f>
        <v>786.61</v>
      </c>
      <c r="G20" s="18">
        <f t="shared" si="0"/>
        <v>142.66999999999999</v>
      </c>
      <c r="H20" s="20">
        <f t="shared" si="0"/>
        <v>1635.0900000000001</v>
      </c>
      <c r="I20" s="9"/>
      <c r="J20" s="20">
        <f>I20+май!J20</f>
        <v>0</v>
      </c>
      <c r="K20" s="8"/>
      <c r="L20" s="18">
        <f>K20+май!L20</f>
        <v>0</v>
      </c>
    </row>
    <row r="21" spans="1:12">
      <c r="A21" s="1">
        <f t="shared" si="1"/>
        <v>19</v>
      </c>
      <c r="B21" s="34" t="str">
        <f>май!B21</f>
        <v>Электроснабжение(оющед.нужд)</v>
      </c>
      <c r="C21" s="8">
        <f>2177.64+13350.81</f>
        <v>15528.449999999999</v>
      </c>
      <c r="D21" s="18">
        <f>C21+май!D21</f>
        <v>247339.12000000005</v>
      </c>
      <c r="E21" s="9">
        <f>3400.66+27237.84</f>
        <v>30638.5</v>
      </c>
      <c r="F21" s="18">
        <f>E21+май!F21</f>
        <v>264475.03000000003</v>
      </c>
      <c r="G21" s="18">
        <f t="shared" si="0"/>
        <v>15110.050000000001</v>
      </c>
      <c r="H21" s="20">
        <f t="shared" si="0"/>
        <v>17135.909999999974</v>
      </c>
      <c r="I21" s="9"/>
      <c r="J21" s="20">
        <f>I21+май!J21</f>
        <v>0</v>
      </c>
      <c r="K21" s="8"/>
      <c r="L21" s="18">
        <f>K21+май!L21</f>
        <v>0</v>
      </c>
    </row>
    <row r="22" spans="1:12" ht="14.25" customHeight="1">
      <c r="A22" s="1">
        <f t="shared" si="1"/>
        <v>20</v>
      </c>
      <c r="B22" s="34" t="str">
        <f>май!B22</f>
        <v>Горячее водоснабжение(о/д нужды)</v>
      </c>
      <c r="C22" s="8">
        <f>543.9+3354.02+2438.29</f>
        <v>6336.21</v>
      </c>
      <c r="D22" s="18">
        <f>C22+май!D22</f>
        <v>32068.370000000003</v>
      </c>
      <c r="E22" s="9">
        <f>340.87+2797.13+5684.04</f>
        <v>8822.0400000000009</v>
      </c>
      <c r="F22" s="18">
        <f>E22+май!F22</f>
        <v>38935.089999999997</v>
      </c>
      <c r="G22" s="18">
        <f t="shared" si="0"/>
        <v>2485.8300000000008</v>
      </c>
      <c r="H22" s="20">
        <f t="shared" si="0"/>
        <v>6866.7199999999939</v>
      </c>
      <c r="I22" s="9"/>
      <c r="J22" s="20">
        <f>I22+май!J22</f>
        <v>0</v>
      </c>
      <c r="K22" s="8"/>
      <c r="L22" s="18">
        <f>K22+май!L22</f>
        <v>0</v>
      </c>
    </row>
    <row r="23" spans="1:12">
      <c r="A23" s="22"/>
      <c r="B23" s="38" t="s">
        <v>12</v>
      </c>
      <c r="C23" s="23">
        <f t="shared" ref="C23:L23" si="2">SUM(C3:C22)</f>
        <v>580617.65999999992</v>
      </c>
      <c r="D23" s="18">
        <f t="shared" si="2"/>
        <v>4584240.2700000005</v>
      </c>
      <c r="E23" s="24">
        <f t="shared" si="2"/>
        <v>661222.73</v>
      </c>
      <c r="F23" s="18">
        <f t="shared" si="2"/>
        <v>4448974.3900000006</v>
      </c>
      <c r="G23" s="18">
        <f t="shared" si="2"/>
        <v>80605.069999999963</v>
      </c>
      <c r="H23" s="20">
        <f t="shared" si="2"/>
        <v>-135265.87999999989</v>
      </c>
      <c r="I23" s="20">
        <f t="shared" si="2"/>
        <v>0</v>
      </c>
      <c r="J23" s="20">
        <f t="shared" si="2"/>
        <v>0</v>
      </c>
      <c r="K23" s="18">
        <f t="shared" si="2"/>
        <v>0</v>
      </c>
      <c r="L23" s="18">
        <f t="shared" si="2"/>
        <v>0</v>
      </c>
    </row>
    <row r="25" spans="1:12">
      <c r="B25" s="41" t="s">
        <v>36</v>
      </c>
      <c r="C25" s="9">
        <f t="shared" ref="C25:H25" si="3">C3+C6+C7+C8+C9+C14+C15+C17</f>
        <v>161051.93</v>
      </c>
      <c r="D25" s="9">
        <f t="shared" si="3"/>
        <v>946664.95</v>
      </c>
      <c r="E25" s="9">
        <f t="shared" si="3"/>
        <v>148035.30000000002</v>
      </c>
      <c r="F25" s="9">
        <f t="shared" si="3"/>
        <v>904684.4</v>
      </c>
      <c r="G25" s="9">
        <f t="shared" si="3"/>
        <v>-13016.630000000005</v>
      </c>
      <c r="H25" s="9">
        <f t="shared" si="3"/>
        <v>-41980.549999999923</v>
      </c>
    </row>
    <row r="27" spans="1:12" ht="3.75" customHeight="1"/>
    <row r="28" spans="1:12">
      <c r="B28" s="1" t="s">
        <v>38</v>
      </c>
      <c r="C28" s="9">
        <f>C11+C12+C13+C16+C18+C19</f>
        <v>154157.26999999999</v>
      </c>
      <c r="D28" s="9">
        <f t="shared" ref="D28:J28" si="4">D11+D12+D13+D16+D18+D19</f>
        <v>877290.62999999977</v>
      </c>
      <c r="E28" s="9">
        <f t="shared" si="4"/>
        <v>142362.31000000003</v>
      </c>
      <c r="F28" s="9">
        <f t="shared" si="4"/>
        <v>798651.32</v>
      </c>
      <c r="G28" s="9">
        <f t="shared" si="4"/>
        <v>-11794.959999999995</v>
      </c>
      <c r="H28" s="9">
        <f t="shared" si="4"/>
        <v>-78639.309999999852</v>
      </c>
      <c r="I28" s="9">
        <f t="shared" si="4"/>
        <v>0</v>
      </c>
      <c r="J28" s="9">
        <f t="shared" si="4"/>
        <v>0</v>
      </c>
    </row>
    <row r="29" spans="1:12">
      <c r="B29" s="1" t="s">
        <v>39</v>
      </c>
      <c r="C29" s="9">
        <f>C10+C21</f>
        <v>115764.33</v>
      </c>
      <c r="D29" s="9">
        <f t="shared" ref="D29:J29" si="5">D10+D21</f>
        <v>815680.45</v>
      </c>
      <c r="E29" s="9">
        <f t="shared" si="5"/>
        <v>120938.53</v>
      </c>
      <c r="F29" s="9">
        <f t="shared" si="5"/>
        <v>786899.34000000008</v>
      </c>
      <c r="G29" s="9">
        <f t="shared" si="5"/>
        <v>5174.1999999999953</v>
      </c>
      <c r="H29" s="9">
        <f t="shared" si="5"/>
        <v>-28781.109999999928</v>
      </c>
      <c r="I29" s="9">
        <f t="shared" si="5"/>
        <v>0</v>
      </c>
      <c r="J29" s="9">
        <f t="shared" si="5"/>
        <v>0</v>
      </c>
    </row>
    <row r="30" spans="1:12">
      <c r="B30" s="1" t="s">
        <v>40</v>
      </c>
      <c r="C30" s="9">
        <f>C4+C5+C20+C22</f>
        <v>149644.13</v>
      </c>
      <c r="D30" s="9">
        <f t="shared" ref="D30:J30" si="6">D4+D5+D20+D22</f>
        <v>1944604.2400000002</v>
      </c>
      <c r="E30" s="9">
        <f t="shared" si="6"/>
        <v>249886.59000000003</v>
      </c>
      <c r="F30" s="9">
        <f t="shared" si="6"/>
        <v>1958739.33</v>
      </c>
      <c r="G30" s="9">
        <f t="shared" si="6"/>
        <v>100242.45999999999</v>
      </c>
      <c r="H30" s="9">
        <f t="shared" si="6"/>
        <v>14135.089999999789</v>
      </c>
      <c r="I30" s="9">
        <f t="shared" si="6"/>
        <v>0</v>
      </c>
      <c r="J30" s="9">
        <f t="shared" si="6"/>
        <v>0</v>
      </c>
    </row>
    <row r="33" spans="3:10">
      <c r="C33">
        <f>90542.52+490075.14</f>
        <v>580617.66</v>
      </c>
      <c r="E33">
        <f>85238.34+575984.39</f>
        <v>661222.73</v>
      </c>
    </row>
    <row r="35" spans="3:10">
      <c r="I35" s="11"/>
      <c r="J35" s="11"/>
    </row>
    <row r="37" spans="3:10">
      <c r="I37" s="64"/>
    </row>
  </sheetData>
  <phoneticPr fontId="0" type="noConversion"/>
  <pageMargins left="0" right="0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B1" sqref="B1:E1"/>
    </sheetView>
  </sheetViews>
  <sheetFormatPr defaultRowHeight="12.75"/>
  <cols>
    <col min="1" max="1" width="3.5703125" customWidth="1"/>
    <col min="2" max="2" width="32.42578125" style="36" customWidth="1"/>
    <col min="3" max="3" width="10.85546875" customWidth="1"/>
    <col min="4" max="4" width="11.42578125" customWidth="1"/>
    <col min="5" max="5" width="12.140625" customWidth="1"/>
    <col min="6" max="6" width="11.7109375" customWidth="1"/>
    <col min="7" max="7" width="11" customWidth="1"/>
    <col min="8" max="8" width="12.28515625" customWidth="1"/>
    <col min="9" max="10" width="11.28515625" customWidth="1"/>
    <col min="11" max="11" width="10.140625" bestFit="1" customWidth="1"/>
    <col min="12" max="12" width="11.28515625" customWidth="1"/>
    <col min="13" max="13" width="10.7109375" bestFit="1" customWidth="1"/>
  </cols>
  <sheetData>
    <row r="1" spans="1:13" ht="24.75" customHeight="1">
      <c r="B1" s="11" t="s">
        <v>19</v>
      </c>
      <c r="D1" t="s">
        <v>48</v>
      </c>
    </row>
    <row r="2" spans="1:13" s="32" customFormat="1" ht="38.25">
      <c r="A2" s="31" t="s">
        <v>0</v>
      </c>
      <c r="B2" s="37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>
      <c r="A3" s="1">
        <v>1</v>
      </c>
      <c r="B3" s="34" t="str">
        <f>июнь!B3</f>
        <v>Содержание общ.имущ.дома</v>
      </c>
      <c r="C3" s="8">
        <f>10351.86+63262.47</f>
        <v>73614.33</v>
      </c>
      <c r="D3" s="18">
        <f>C3+июнь!D3</f>
        <v>478665.82</v>
      </c>
      <c r="E3" s="66">
        <f>6171.13+67167.67</f>
        <v>73338.8</v>
      </c>
      <c r="F3" s="18">
        <f>E3+июнь!F3</f>
        <v>457561.88</v>
      </c>
      <c r="G3" s="18">
        <f>E3-C3</f>
        <v>-275.52999999999884</v>
      </c>
      <c r="H3" s="20">
        <f>F3-D3</f>
        <v>-21103.940000000002</v>
      </c>
      <c r="I3" s="9"/>
      <c r="J3" s="20">
        <f>I3+июнь!J3</f>
        <v>0</v>
      </c>
      <c r="K3" s="8"/>
      <c r="L3" s="18">
        <f>K3+июнь!L3</f>
        <v>0</v>
      </c>
    </row>
    <row r="4" spans="1:13">
      <c r="A4" s="1">
        <f>A3+1</f>
        <v>2</v>
      </c>
      <c r="B4" s="34" t="str">
        <f>июнь!B4</f>
        <v>Отопление</v>
      </c>
      <c r="C4" s="8">
        <f>0</f>
        <v>0</v>
      </c>
      <c r="D4" s="18">
        <f>C4+июнь!D4</f>
        <v>1096799.26</v>
      </c>
      <c r="E4" s="66">
        <f>5617.69+57461.94</f>
        <v>63079.630000000005</v>
      </c>
      <c r="F4" s="18">
        <f>E4+июнь!F4</f>
        <v>1253499.98</v>
      </c>
      <c r="G4" s="18">
        <f t="shared" ref="G4:H22" si="0">E4-C4</f>
        <v>63079.630000000005</v>
      </c>
      <c r="H4" s="20">
        <f t="shared" si="0"/>
        <v>156700.71999999997</v>
      </c>
      <c r="I4" s="9"/>
      <c r="J4" s="20">
        <f>I4+июнь!J4</f>
        <v>0</v>
      </c>
      <c r="K4" s="8"/>
      <c r="L4" s="18">
        <f>K4+июнь!L4</f>
        <v>0</v>
      </c>
      <c r="M4" s="25">
        <f>L4-J4</f>
        <v>0</v>
      </c>
    </row>
    <row r="5" spans="1:13">
      <c r="A5" s="1">
        <f t="shared" ref="A5:A22" si="1">A4+1</f>
        <v>3</v>
      </c>
      <c r="B5" s="65" t="str">
        <f>июнь!B5</f>
        <v>Горячее водоснабжение</v>
      </c>
      <c r="C5" s="8">
        <f>25517.1+128787.01</f>
        <v>154304.10999999999</v>
      </c>
      <c r="D5" s="18">
        <f>C5+июнь!D5</f>
        <v>970889.20000000007</v>
      </c>
      <c r="E5" s="66">
        <f>14930.03+114395.15</f>
        <v>129325.18</v>
      </c>
      <c r="F5" s="18">
        <f>E5+июнь!F5</f>
        <v>857922.46</v>
      </c>
      <c r="G5" s="18">
        <f t="shared" si="0"/>
        <v>-24978.929999999993</v>
      </c>
      <c r="H5" s="20">
        <f t="shared" si="0"/>
        <v>-112966.74000000011</v>
      </c>
      <c r="I5" s="9"/>
      <c r="J5" s="20">
        <f>I5+июнь!J5</f>
        <v>0</v>
      </c>
      <c r="K5" s="8"/>
      <c r="L5" s="18">
        <f>K5+июнь!L5</f>
        <v>0</v>
      </c>
    </row>
    <row r="6" spans="1:13">
      <c r="A6" s="1">
        <f t="shared" si="1"/>
        <v>4</v>
      </c>
      <c r="B6" s="34" t="str">
        <f>июнь!B6</f>
        <v>Сод.и ремонт АППЗ</v>
      </c>
      <c r="C6" s="8">
        <f>365.24+2239.39</f>
        <v>2604.63</v>
      </c>
      <c r="D6" s="18">
        <f>C6+июнь!D6</f>
        <v>17526.740000000002</v>
      </c>
      <c r="E6" s="66">
        <f>227.04+2483.29</f>
        <v>2710.33</v>
      </c>
      <c r="F6" s="18">
        <f>E6+июнь!F6</f>
        <v>17169.080000000002</v>
      </c>
      <c r="G6" s="18">
        <f t="shared" si="0"/>
        <v>105.69999999999982</v>
      </c>
      <c r="H6" s="20">
        <f t="shared" si="0"/>
        <v>-357.65999999999985</v>
      </c>
      <c r="I6" s="9"/>
      <c r="J6" s="20">
        <f>I6+июнь!J6</f>
        <v>0</v>
      </c>
      <c r="K6" s="8"/>
      <c r="L6" s="18">
        <f>K6+июнь!L6</f>
        <v>0</v>
      </c>
    </row>
    <row r="7" spans="1:13">
      <c r="A7" s="1">
        <f t="shared" si="1"/>
        <v>5</v>
      </c>
      <c r="B7" s="34" t="str">
        <f>июнь!B7</f>
        <v>Сод.и ремонт лифтов</v>
      </c>
      <c r="C7" s="8">
        <f>1834.6+11247.91</f>
        <v>13082.51</v>
      </c>
      <c r="D7" s="18">
        <f>C7+июнь!D7</f>
        <v>106469.72999999998</v>
      </c>
      <c r="E7" s="66">
        <f>1230.53+13426.42</f>
        <v>14656.95</v>
      </c>
      <c r="F7" s="18">
        <f>E7+июнь!F7</f>
        <v>108644.8</v>
      </c>
      <c r="G7" s="18">
        <f t="shared" si="0"/>
        <v>1574.4400000000005</v>
      </c>
      <c r="H7" s="20">
        <f t="shared" si="0"/>
        <v>2175.0700000000215</v>
      </c>
      <c r="I7" s="9"/>
      <c r="J7" s="20">
        <f>I7+июнь!J7</f>
        <v>0</v>
      </c>
      <c r="K7" s="8"/>
      <c r="L7" s="18">
        <f>K7+июнь!L7</f>
        <v>0</v>
      </c>
    </row>
    <row r="8" spans="1:13">
      <c r="A8" s="1">
        <f t="shared" si="1"/>
        <v>6</v>
      </c>
      <c r="B8" s="34" t="str">
        <f>июнь!B8</f>
        <v>Очистка мусоропроводов</v>
      </c>
      <c r="C8" s="8">
        <f>1319.93+8051.3</f>
        <v>9371.23</v>
      </c>
      <c r="D8" s="18">
        <f>C8+июнь!D8</f>
        <v>57587.939999999988</v>
      </c>
      <c r="E8" s="66">
        <f>770.9+8373.86</f>
        <v>9144.76</v>
      </c>
      <c r="F8" s="18">
        <f>E8+июнь!F8</f>
        <v>55342.390000000007</v>
      </c>
      <c r="G8" s="18">
        <f t="shared" si="0"/>
        <v>-226.46999999999935</v>
      </c>
      <c r="H8" s="20">
        <f t="shared" si="0"/>
        <v>-2245.5499999999811</v>
      </c>
      <c r="I8" s="9"/>
      <c r="J8" s="20">
        <f>I8+июнь!J8</f>
        <v>0</v>
      </c>
      <c r="K8" s="8"/>
      <c r="L8" s="18">
        <f>K8+июнь!L8</f>
        <v>0</v>
      </c>
    </row>
    <row r="9" spans="1:13">
      <c r="A9" s="1">
        <f t="shared" si="1"/>
        <v>7</v>
      </c>
      <c r="B9" s="34" t="str">
        <f>июнь!B9</f>
        <v>Уборка и сан.очистка зем.уч.</v>
      </c>
      <c r="C9" s="8">
        <f>1560.67+9568.35</f>
        <v>11129.02</v>
      </c>
      <c r="D9" s="18">
        <f>C9+июнь!D9</f>
        <v>73722.789999999994</v>
      </c>
      <c r="E9" s="66">
        <f>934.59+10225.64</f>
        <v>11160.23</v>
      </c>
      <c r="F9" s="18">
        <f>E9+июнь!F9</f>
        <v>69918.179999999993</v>
      </c>
      <c r="G9" s="18">
        <f t="shared" si="0"/>
        <v>31.209999999999127</v>
      </c>
      <c r="H9" s="20">
        <f t="shared" si="0"/>
        <v>-3804.6100000000006</v>
      </c>
      <c r="I9" s="9"/>
      <c r="J9" s="20">
        <f>I9+июнь!J9</f>
        <v>0</v>
      </c>
      <c r="K9" s="8"/>
      <c r="L9" s="18">
        <f>K9+июнь!L9</f>
        <v>0</v>
      </c>
    </row>
    <row r="10" spans="1:13">
      <c r="A10" s="1">
        <f t="shared" si="1"/>
        <v>8</v>
      </c>
      <c r="B10" s="34" t="str">
        <f>июнь!B10</f>
        <v>Электроснабжение(инд.потр)</v>
      </c>
      <c r="C10" s="8">
        <f>15531.2+91103</f>
        <v>106634.2</v>
      </c>
      <c r="D10" s="18">
        <f>C10+июнь!D10</f>
        <v>674975.52999999991</v>
      </c>
      <c r="E10" s="66">
        <f>8783.34+89330.99</f>
        <v>98114.33</v>
      </c>
      <c r="F10" s="18">
        <f>E10+июнь!F10</f>
        <v>620538.64</v>
      </c>
      <c r="G10" s="18">
        <f t="shared" si="0"/>
        <v>-8519.8699999999953</v>
      </c>
      <c r="H10" s="20">
        <f t="shared" si="0"/>
        <v>-54436.889999999898</v>
      </c>
      <c r="I10" s="9"/>
      <c r="J10" s="20">
        <f>I10+июнь!J10</f>
        <v>0</v>
      </c>
      <c r="K10" s="8"/>
      <c r="L10" s="18">
        <f>K10+июнь!L10</f>
        <v>0</v>
      </c>
    </row>
    <row r="11" spans="1:13">
      <c r="A11" s="1">
        <f t="shared" si="1"/>
        <v>9</v>
      </c>
      <c r="B11" s="34" t="str">
        <f>июнь!B11</f>
        <v>Холодная вода</v>
      </c>
      <c r="C11" s="8">
        <f>10320.81+52108.36</f>
        <v>62429.17</v>
      </c>
      <c r="D11" s="18">
        <f>C11+июнь!D11</f>
        <v>383435.87999999995</v>
      </c>
      <c r="E11" s="66">
        <f>5980.76+45598.04</f>
        <v>51578.8</v>
      </c>
      <c r="F11" s="18">
        <f>E11+июнь!F11</f>
        <v>340692.04</v>
      </c>
      <c r="G11" s="18">
        <f t="shared" si="0"/>
        <v>-10850.369999999995</v>
      </c>
      <c r="H11" s="20">
        <f t="shared" si="0"/>
        <v>-42743.839999999967</v>
      </c>
      <c r="I11" s="9"/>
      <c r="J11" s="20">
        <f>I11+июнь!J11</f>
        <v>0</v>
      </c>
      <c r="K11" s="8"/>
      <c r="L11" s="18">
        <f>K11+июнь!L11</f>
        <v>0</v>
      </c>
    </row>
    <row r="12" spans="1:13">
      <c r="A12" s="1">
        <f t="shared" si="1"/>
        <v>10</v>
      </c>
      <c r="B12" s="34" t="str">
        <f>июнь!B12</f>
        <v>Канализирование х.воды</v>
      </c>
      <c r="C12" s="8">
        <v>0</v>
      </c>
      <c r="D12" s="18">
        <f>C12+июнь!D12</f>
        <v>-2210.14</v>
      </c>
      <c r="E12" s="66">
        <v>0</v>
      </c>
      <c r="F12" s="18">
        <f>E12+июнь!F12</f>
        <v>734.48</v>
      </c>
      <c r="G12" s="18">
        <f t="shared" si="0"/>
        <v>0</v>
      </c>
      <c r="H12" s="20">
        <f t="shared" si="0"/>
        <v>2944.62</v>
      </c>
      <c r="I12" s="9"/>
      <c r="J12" s="20">
        <f>I12+июнь!J12</f>
        <v>0</v>
      </c>
      <c r="K12" s="8"/>
      <c r="L12" s="18">
        <f>K12+июнь!L12</f>
        <v>0</v>
      </c>
    </row>
    <row r="13" spans="1:13">
      <c r="A13" s="1">
        <f t="shared" si="1"/>
        <v>11</v>
      </c>
      <c r="B13" s="34" t="str">
        <f>июнь!B13</f>
        <v>Канализирование г.воды</v>
      </c>
      <c r="C13" s="8">
        <v>0</v>
      </c>
      <c r="D13" s="18">
        <f>C13+июнь!D13</f>
        <v>-1504.92</v>
      </c>
      <c r="E13" s="66">
        <v>0</v>
      </c>
      <c r="F13" s="18">
        <f>E13+июнь!F13</f>
        <v>309.72000000000003</v>
      </c>
      <c r="G13" s="18">
        <f t="shared" si="0"/>
        <v>0</v>
      </c>
      <c r="H13" s="20">
        <f t="shared" si="0"/>
        <v>1814.64</v>
      </c>
      <c r="I13" s="9"/>
      <c r="J13" s="20">
        <f>I13+июнь!J13</f>
        <v>0</v>
      </c>
      <c r="K13" s="8"/>
      <c r="L13" s="18">
        <f>K13+июнь!L13</f>
        <v>0</v>
      </c>
    </row>
    <row r="14" spans="1:13">
      <c r="A14" s="1">
        <f t="shared" si="1"/>
        <v>12</v>
      </c>
      <c r="B14" s="34" t="str">
        <f>июнь!B14</f>
        <v>Тек.ремонт общ.имущ.дома</v>
      </c>
      <c r="C14" s="8">
        <f>5155.16+31606.07</f>
        <v>36761.229999999996</v>
      </c>
      <c r="D14" s="18">
        <f>C14+июнь!D14</f>
        <v>248214.88999999996</v>
      </c>
      <c r="E14" s="66">
        <f>3150.89+35116.45</f>
        <v>38267.339999999997</v>
      </c>
      <c r="F14" s="18">
        <f>E14+июнь!F14</f>
        <v>242780.57</v>
      </c>
      <c r="G14" s="18">
        <f t="shared" si="0"/>
        <v>1506.1100000000006</v>
      </c>
      <c r="H14" s="20">
        <f t="shared" si="0"/>
        <v>-5434.3199999999488</v>
      </c>
      <c r="I14" s="9"/>
      <c r="J14" s="20">
        <f>I14+июнь!J14</f>
        <v>0</v>
      </c>
      <c r="K14" s="8"/>
      <c r="L14" s="18">
        <f>K14+июнь!L14</f>
        <v>0</v>
      </c>
    </row>
    <row r="15" spans="1:13">
      <c r="A15" s="1">
        <f t="shared" si="1"/>
        <v>13</v>
      </c>
      <c r="B15" s="34" t="str">
        <f>июнь!B15</f>
        <v>Управление многокварт.домом</v>
      </c>
      <c r="C15" s="8">
        <f>2490.42+15268.62</f>
        <v>17759.04</v>
      </c>
      <c r="D15" s="18">
        <f>C15+июнь!D15</f>
        <v>106496.16</v>
      </c>
      <c r="E15" s="66">
        <f>1343.06+15094.46</f>
        <v>16437.52</v>
      </c>
      <c r="F15" s="18">
        <f>E15+июнь!F15</f>
        <v>97196.39</v>
      </c>
      <c r="G15" s="18">
        <f t="shared" si="0"/>
        <v>-1321.5200000000004</v>
      </c>
      <c r="H15" s="20">
        <f t="shared" si="0"/>
        <v>-9299.7700000000041</v>
      </c>
      <c r="I15" s="9"/>
      <c r="J15" s="20">
        <f>I15+июнь!J15</f>
        <v>0</v>
      </c>
      <c r="K15" s="8"/>
      <c r="L15" s="18">
        <f>K15+июнь!L15</f>
        <v>0</v>
      </c>
    </row>
    <row r="16" spans="1:13">
      <c r="A16" s="1">
        <f t="shared" si="1"/>
        <v>14</v>
      </c>
      <c r="B16" s="34" t="str">
        <f>июнь!B16</f>
        <v>Водоотведение (кв)</v>
      </c>
      <c r="C16" s="8">
        <f>17650.74+89103.07</f>
        <v>106753.81000000001</v>
      </c>
      <c r="D16" s="18">
        <f>C16+июнь!D16</f>
        <v>657110.17999999993</v>
      </c>
      <c r="E16" s="66">
        <f>10210.15+77980.68</f>
        <v>88190.829999999987</v>
      </c>
      <c r="F16" s="18">
        <f>E16+июнь!F16</f>
        <v>583509.97</v>
      </c>
      <c r="G16" s="18">
        <f t="shared" si="0"/>
        <v>-18562.980000000025</v>
      </c>
      <c r="H16" s="20">
        <f t="shared" si="0"/>
        <v>-73600.209999999963</v>
      </c>
      <c r="I16" s="9"/>
      <c r="J16" s="20">
        <f>I16+июнь!J16</f>
        <v>0</v>
      </c>
      <c r="K16" s="8"/>
      <c r="L16" s="18">
        <f>K16+июнь!L16</f>
        <v>0</v>
      </c>
    </row>
    <row r="17" spans="1:12">
      <c r="A17" s="1">
        <f t="shared" si="1"/>
        <v>15</v>
      </c>
      <c r="B17" s="34" t="str">
        <f>июнь!B17</f>
        <v>Эксплуатация общедомовых ПУ</v>
      </c>
      <c r="C17" s="8">
        <f>547.9+3359.15</f>
        <v>3907.05</v>
      </c>
      <c r="D17" s="18">
        <f>C17+июнь!D17</f>
        <v>26209.919999999998</v>
      </c>
      <c r="E17" s="66">
        <f>338.65+3699.33</f>
        <v>4037.98</v>
      </c>
      <c r="F17" s="18">
        <f>E17+июнь!F17</f>
        <v>25825.019999999997</v>
      </c>
      <c r="G17" s="18">
        <f t="shared" si="0"/>
        <v>130.92999999999984</v>
      </c>
      <c r="H17" s="20">
        <f t="shared" si="0"/>
        <v>-384.90000000000146</v>
      </c>
      <c r="I17" s="9"/>
      <c r="J17" s="20">
        <f>I17+июнь!J17</f>
        <v>0</v>
      </c>
      <c r="K17" s="8"/>
      <c r="L17" s="18">
        <f>K17+июнь!L17</f>
        <v>0</v>
      </c>
    </row>
    <row r="18" spans="1:12">
      <c r="A18" s="1">
        <f t="shared" si="1"/>
        <v>16</v>
      </c>
      <c r="B18" s="34" t="str">
        <f>июнь!B18</f>
        <v>Хол.водоснабжение(о/д нужды)</v>
      </c>
      <c r="C18" s="8">
        <f>264.55+1624.22</f>
        <v>1888.77</v>
      </c>
      <c r="D18" s="18">
        <f>C18+июнь!D18</f>
        <v>11722.230000000001</v>
      </c>
      <c r="E18" s="66">
        <f>253.23+2394.62</f>
        <v>2647.85</v>
      </c>
      <c r="F18" s="18">
        <f>E18+июнь!F18</f>
        <v>15599.51</v>
      </c>
      <c r="G18" s="18">
        <f t="shared" si="0"/>
        <v>759.07999999999993</v>
      </c>
      <c r="H18" s="20">
        <f t="shared" si="0"/>
        <v>3877.2799999999988</v>
      </c>
      <c r="I18" s="9"/>
      <c r="J18" s="20">
        <f>I18+июнь!J18</f>
        <v>0</v>
      </c>
      <c r="K18" s="8"/>
      <c r="L18" s="18">
        <f>K18+июнь!L18</f>
        <v>0</v>
      </c>
    </row>
    <row r="19" spans="1:12">
      <c r="A19" s="1">
        <f t="shared" si="1"/>
        <v>17</v>
      </c>
      <c r="B19" s="34" t="str">
        <f>июнь!B19</f>
        <v>Водоотведение(о/д нужды)</v>
      </c>
      <c r="C19" s="8">
        <v>0</v>
      </c>
      <c r="D19" s="18">
        <f>C19+июнь!D19</f>
        <v>-190.85</v>
      </c>
      <c r="E19" s="66">
        <v>0</v>
      </c>
      <c r="F19" s="18">
        <f>E19+июнь!F19</f>
        <v>223.08</v>
      </c>
      <c r="G19" s="18">
        <f t="shared" si="0"/>
        <v>0</v>
      </c>
      <c r="H19" s="20">
        <f t="shared" si="0"/>
        <v>413.93</v>
      </c>
      <c r="I19" s="9"/>
      <c r="J19" s="20">
        <f>I19+июнь!J19</f>
        <v>0</v>
      </c>
      <c r="K19" s="8"/>
      <c r="L19" s="18">
        <f>K19+июнь!L19</f>
        <v>0</v>
      </c>
    </row>
    <row r="20" spans="1:12">
      <c r="A20" s="1">
        <f t="shared" si="1"/>
        <v>18</v>
      </c>
      <c r="B20" s="34" t="str">
        <f>июнь!B20</f>
        <v>Отопление (о/д нужды)</v>
      </c>
      <c r="C20" s="8">
        <v>0</v>
      </c>
      <c r="D20" s="18">
        <f>C20+июнь!D20</f>
        <v>-848.48</v>
      </c>
      <c r="E20" s="66">
        <v>0</v>
      </c>
      <c r="F20" s="18">
        <f>E20+июнь!F20</f>
        <v>786.61</v>
      </c>
      <c r="G20" s="18">
        <f t="shared" si="0"/>
        <v>0</v>
      </c>
      <c r="H20" s="20">
        <f t="shared" si="0"/>
        <v>1635.0900000000001</v>
      </c>
      <c r="I20" s="9"/>
      <c r="J20" s="20">
        <f>I20+июнь!J20</f>
        <v>0</v>
      </c>
      <c r="K20" s="8"/>
      <c r="L20" s="18">
        <f>K20+июнь!L20</f>
        <v>0</v>
      </c>
    </row>
    <row r="21" spans="1:12">
      <c r="A21" s="1">
        <f t="shared" si="1"/>
        <v>19</v>
      </c>
      <c r="B21" s="34" t="str">
        <f>июнь!B21</f>
        <v>Электроснабжение(оющед.нужд)</v>
      </c>
      <c r="C21" s="8">
        <v>2559.87</v>
      </c>
      <c r="D21" s="18">
        <f>C21+июнь!D21</f>
        <v>249898.99000000005</v>
      </c>
      <c r="E21" s="66">
        <f>2387.25+26715.61+1403.69</f>
        <v>30506.55</v>
      </c>
      <c r="F21" s="18">
        <f>E21+июнь!F21</f>
        <v>294981.58</v>
      </c>
      <c r="G21" s="18">
        <f t="shared" si="0"/>
        <v>27946.68</v>
      </c>
      <c r="H21" s="20">
        <f t="shared" si="0"/>
        <v>45082.589999999967</v>
      </c>
      <c r="I21" s="9"/>
      <c r="J21" s="20">
        <f>I21+июнь!J21</f>
        <v>0</v>
      </c>
      <c r="K21" s="8"/>
      <c r="L21" s="18">
        <f>K21+июнь!L21</f>
        <v>0</v>
      </c>
    </row>
    <row r="22" spans="1:12" ht="15" customHeight="1">
      <c r="A22" s="1">
        <f t="shared" si="1"/>
        <v>20</v>
      </c>
      <c r="B22" s="34" t="str">
        <f>июнь!B22</f>
        <v>Горячее водоснабжение(о/д нужды)</v>
      </c>
      <c r="C22" s="8">
        <f>565.7+3488.42</f>
        <v>4054.12</v>
      </c>
      <c r="D22" s="18">
        <f>C22+июнь!D22</f>
        <v>36122.490000000005</v>
      </c>
      <c r="E22" s="66">
        <f>338.12+4118.3</f>
        <v>4456.42</v>
      </c>
      <c r="F22" s="18">
        <f>E22+июнь!F22</f>
        <v>43391.509999999995</v>
      </c>
      <c r="G22" s="18">
        <f t="shared" si="0"/>
        <v>402.30000000000018</v>
      </c>
      <c r="H22" s="20">
        <f t="shared" si="0"/>
        <v>7269.0199999999895</v>
      </c>
      <c r="I22" s="9"/>
      <c r="J22" s="20">
        <f>I22+июнь!J22</f>
        <v>0</v>
      </c>
      <c r="K22" s="8"/>
      <c r="L22" s="18">
        <f>K22+июнь!L22</f>
        <v>0</v>
      </c>
    </row>
    <row r="23" spans="1:12">
      <c r="A23" s="22"/>
      <c r="B23" s="38" t="s">
        <v>12</v>
      </c>
      <c r="C23" s="23">
        <f t="shared" ref="C23:L23" si="2">SUM(C3:C22)</f>
        <v>606853.09000000008</v>
      </c>
      <c r="D23" s="18">
        <f t="shared" si="2"/>
        <v>5191093.3600000003</v>
      </c>
      <c r="E23" s="24">
        <f t="shared" si="2"/>
        <v>637653.5</v>
      </c>
      <c r="F23" s="18">
        <f t="shared" si="2"/>
        <v>5086627.8899999997</v>
      </c>
      <c r="G23" s="18">
        <f t="shared" si="2"/>
        <v>30800.409999999993</v>
      </c>
      <c r="H23" s="20">
        <f t="shared" si="2"/>
        <v>-104465.46999999991</v>
      </c>
      <c r="I23" s="20">
        <f t="shared" si="2"/>
        <v>0</v>
      </c>
      <c r="J23" s="20">
        <f t="shared" si="2"/>
        <v>0</v>
      </c>
      <c r="K23" s="18">
        <f t="shared" si="2"/>
        <v>0</v>
      </c>
      <c r="L23" s="18">
        <f t="shared" si="2"/>
        <v>0</v>
      </c>
    </row>
    <row r="24" spans="1:12" ht="16.5" customHeight="1"/>
    <row r="25" spans="1:12" ht="16.5" customHeight="1">
      <c r="B25" s="41" t="s">
        <v>36</v>
      </c>
      <c r="C25" s="9">
        <f t="shared" ref="C25:H25" si="3">C3+C6+C7+C8+C9+C14+C15+C17</f>
        <v>168229.04</v>
      </c>
      <c r="D25" s="9">
        <f t="shared" si="3"/>
        <v>1114893.9899999998</v>
      </c>
      <c r="E25" s="9">
        <f t="shared" si="3"/>
        <v>169753.90999999997</v>
      </c>
      <c r="F25" s="9">
        <f t="shared" si="3"/>
        <v>1074438.31</v>
      </c>
      <c r="G25" s="9">
        <f t="shared" si="3"/>
        <v>1524.8700000000013</v>
      </c>
      <c r="H25" s="9">
        <f t="shared" si="3"/>
        <v>-40455.679999999913</v>
      </c>
    </row>
    <row r="26" spans="1:12" ht="16.5" customHeight="1"/>
    <row r="27" spans="1:12" ht="16.5" customHeight="1"/>
    <row r="28" spans="1:12" ht="16.5" customHeight="1">
      <c r="B28" s="1" t="s">
        <v>38</v>
      </c>
      <c r="C28" s="9">
        <f>C11+C12+C13+C16+C18+C19</f>
        <v>171071.75</v>
      </c>
      <c r="D28" s="9">
        <f t="shared" ref="D28:J28" si="4">D11+D12+D13+D16+D18+D19</f>
        <v>1048362.3799999999</v>
      </c>
      <c r="E28" s="9">
        <f t="shared" si="4"/>
        <v>142417.48000000001</v>
      </c>
      <c r="F28" s="9">
        <f t="shared" si="4"/>
        <v>941068.79999999993</v>
      </c>
      <c r="G28" s="9">
        <f t="shared" si="4"/>
        <v>-28654.270000000019</v>
      </c>
      <c r="H28" s="9">
        <f t="shared" si="4"/>
        <v>-107293.57999999993</v>
      </c>
      <c r="I28" s="9">
        <f t="shared" si="4"/>
        <v>0</v>
      </c>
      <c r="J28" s="9">
        <f t="shared" si="4"/>
        <v>0</v>
      </c>
    </row>
    <row r="29" spans="1:12">
      <c r="B29" s="1" t="s">
        <v>39</v>
      </c>
      <c r="C29" s="9">
        <f>C10+C21</f>
        <v>109194.06999999999</v>
      </c>
      <c r="D29" s="9">
        <f t="shared" ref="D29:J29" si="5">D10+D21</f>
        <v>924874.52</v>
      </c>
      <c r="E29" s="9">
        <f t="shared" si="5"/>
        <v>128620.88</v>
      </c>
      <c r="F29" s="9">
        <f t="shared" si="5"/>
        <v>915520.22</v>
      </c>
      <c r="G29" s="9">
        <f t="shared" si="5"/>
        <v>19426.810000000005</v>
      </c>
      <c r="H29" s="9">
        <f t="shared" si="5"/>
        <v>-9354.2999999999302</v>
      </c>
      <c r="I29" s="9">
        <f t="shared" si="5"/>
        <v>0</v>
      </c>
      <c r="J29" s="9">
        <f t="shared" si="5"/>
        <v>0</v>
      </c>
    </row>
    <row r="30" spans="1:12">
      <c r="B30" s="1" t="s">
        <v>40</v>
      </c>
      <c r="C30" s="9">
        <f>C4+C5+C20+C22</f>
        <v>158358.22999999998</v>
      </c>
      <c r="D30" s="9">
        <f t="shared" ref="D30:J30" si="6">D4+D5+D20+D22</f>
        <v>2102962.4700000002</v>
      </c>
      <c r="E30" s="9">
        <f t="shared" si="6"/>
        <v>196861.23</v>
      </c>
      <c r="F30" s="9">
        <f t="shared" si="6"/>
        <v>2155600.5599999996</v>
      </c>
      <c r="G30" s="9">
        <f t="shared" si="6"/>
        <v>38503.000000000015</v>
      </c>
      <c r="H30" s="9">
        <f t="shared" si="6"/>
        <v>52638.089999999851</v>
      </c>
      <c r="I30" s="9">
        <f t="shared" si="6"/>
        <v>0</v>
      </c>
      <c r="J30" s="9">
        <f t="shared" si="6"/>
        <v>0</v>
      </c>
    </row>
    <row r="32" spans="1:12">
      <c r="C32">
        <f>93475.88+513377.21</f>
        <v>606853.09000000008</v>
      </c>
      <c r="E32">
        <f>62667.36+574986.14</f>
        <v>637653.5</v>
      </c>
    </row>
    <row r="34" spans="3:5">
      <c r="C34" s="25"/>
    </row>
    <row r="35" spans="3:5">
      <c r="D35" s="11"/>
      <c r="E35" s="11"/>
    </row>
  </sheetData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L3" sqref="L3"/>
    </sheetView>
  </sheetViews>
  <sheetFormatPr defaultRowHeight="12.75"/>
  <cols>
    <col min="1" max="1" width="4.42578125" customWidth="1"/>
    <col min="2" max="2" width="30.140625" style="36" customWidth="1"/>
    <col min="3" max="3" width="11.42578125" customWidth="1"/>
    <col min="4" max="4" width="12.28515625" customWidth="1"/>
    <col min="5" max="5" width="10.140625" bestFit="1" customWidth="1"/>
    <col min="6" max="6" width="11.85546875" customWidth="1"/>
    <col min="7" max="7" width="10.7109375" customWidth="1"/>
    <col min="8" max="8" width="13.140625" customWidth="1"/>
    <col min="9" max="9" width="11.140625" customWidth="1"/>
    <col min="10" max="10" width="12" customWidth="1"/>
    <col min="11" max="11" width="10.140625" bestFit="1" customWidth="1"/>
    <col min="12" max="12" width="11.85546875" customWidth="1"/>
    <col min="13" max="13" width="12.7109375" customWidth="1"/>
    <col min="14" max="14" width="13" customWidth="1"/>
  </cols>
  <sheetData>
    <row r="1" spans="1:13" ht="31.5" customHeight="1">
      <c r="B1" s="11" t="s">
        <v>19</v>
      </c>
      <c r="D1" t="s">
        <v>49</v>
      </c>
    </row>
    <row r="2" spans="1:13" s="50" customFormat="1" ht="38.25">
      <c r="A2" s="44" t="s">
        <v>0</v>
      </c>
      <c r="B2" s="45" t="s">
        <v>1</v>
      </c>
      <c r="C2" s="46" t="s">
        <v>2</v>
      </c>
      <c r="D2" s="47" t="s">
        <v>3</v>
      </c>
      <c r="E2" s="48" t="s">
        <v>4</v>
      </c>
      <c r="F2" s="47" t="s">
        <v>5</v>
      </c>
      <c r="G2" s="47" t="s">
        <v>6</v>
      </c>
      <c r="H2" s="49" t="s">
        <v>7</v>
      </c>
      <c r="I2" s="48" t="s">
        <v>8</v>
      </c>
      <c r="J2" s="49" t="s">
        <v>9</v>
      </c>
      <c r="K2" s="45" t="s">
        <v>10</v>
      </c>
      <c r="L2" s="47" t="s">
        <v>11</v>
      </c>
    </row>
    <row r="3" spans="1:13" s="57" customFormat="1">
      <c r="A3" s="51">
        <v>1</v>
      </c>
      <c r="B3" s="52" t="str">
        <f>июль!B3</f>
        <v>Содержание общ.имущ.дома</v>
      </c>
      <c r="C3" s="53">
        <f>10351.86+63262.47</f>
        <v>73614.33</v>
      </c>
      <c r="D3" s="54">
        <f>C3+июль!D3</f>
        <v>552280.15</v>
      </c>
      <c r="E3" s="55">
        <f>8024.5+61351.84</f>
        <v>69376.34</v>
      </c>
      <c r="F3" s="54">
        <f>E3+июль!F3</f>
        <v>526938.22</v>
      </c>
      <c r="G3" s="54">
        <f>E3-C3</f>
        <v>-4237.9900000000052</v>
      </c>
      <c r="H3" s="56">
        <f>F3-D3</f>
        <v>-25341.930000000051</v>
      </c>
      <c r="I3" s="55"/>
      <c r="J3" s="56">
        <f>I3+июль!J3</f>
        <v>0</v>
      </c>
      <c r="K3" s="53"/>
      <c r="L3" s="54">
        <f>K3+июль!L3</f>
        <v>0</v>
      </c>
    </row>
    <row r="4" spans="1:13" s="57" customFormat="1">
      <c r="A4" s="51">
        <f>A3+1</f>
        <v>2</v>
      </c>
      <c r="B4" s="52" t="str">
        <f>июль!B4</f>
        <v>Отопление</v>
      </c>
      <c r="C4" s="53">
        <v>0</v>
      </c>
      <c r="D4" s="54">
        <f>C4+июль!D4</f>
        <v>1096799.26</v>
      </c>
      <c r="E4" s="55">
        <f>9792.97+33694.96</f>
        <v>43487.93</v>
      </c>
      <c r="F4" s="54">
        <f>E4+июль!F4</f>
        <v>1296987.9099999999</v>
      </c>
      <c r="G4" s="54">
        <f t="shared" ref="G4:H22" si="0">E4-C4</f>
        <v>43487.93</v>
      </c>
      <c r="H4" s="56">
        <f t="shared" si="0"/>
        <v>200188.64999999991</v>
      </c>
      <c r="I4" s="55"/>
      <c r="J4" s="56">
        <f>I4+июль!J4</f>
        <v>0</v>
      </c>
      <c r="K4" s="53"/>
      <c r="L4" s="54">
        <f>K4+июль!L4</f>
        <v>0</v>
      </c>
      <c r="M4" s="58"/>
    </row>
    <row r="5" spans="1:13" s="57" customFormat="1">
      <c r="A5" s="51">
        <f t="shared" ref="A5:A22" si="1">A4+1</f>
        <v>3</v>
      </c>
      <c r="B5" s="69" t="str">
        <f>июль!B5</f>
        <v>Горячее водоснабжение</v>
      </c>
      <c r="C5" s="53">
        <f>25517.1+128122.9</f>
        <v>153640</v>
      </c>
      <c r="D5" s="54">
        <f>C5+июль!D5</f>
        <v>1124529.2000000002</v>
      </c>
      <c r="E5" s="55">
        <f>19292.69+119898.9</f>
        <v>139191.59</v>
      </c>
      <c r="F5" s="54">
        <f>E5+июль!F5</f>
        <v>997114.04999999993</v>
      </c>
      <c r="G5" s="54">
        <f t="shared" si="0"/>
        <v>-14448.410000000003</v>
      </c>
      <c r="H5" s="56">
        <f t="shared" si="0"/>
        <v>-127415.15000000026</v>
      </c>
      <c r="I5" s="55"/>
      <c r="J5" s="56">
        <f>I5+июль!J5</f>
        <v>0</v>
      </c>
      <c r="K5" s="53"/>
      <c r="L5" s="54">
        <f>K5+июль!L5</f>
        <v>0</v>
      </c>
    </row>
    <row r="6" spans="1:13" s="57" customFormat="1">
      <c r="A6" s="51">
        <f t="shared" si="1"/>
        <v>4</v>
      </c>
      <c r="B6" s="52" t="str">
        <f>июль!B6</f>
        <v>Сод.и ремонт АППЗ</v>
      </c>
      <c r="C6" s="53">
        <f>365.24+2239.39</f>
        <v>2604.63</v>
      </c>
      <c r="D6" s="54">
        <f>C6+июль!D6</f>
        <v>20131.370000000003</v>
      </c>
      <c r="E6" s="55">
        <f>289.54+2214.4</f>
        <v>2503.94</v>
      </c>
      <c r="F6" s="54">
        <f>E6+июль!F6</f>
        <v>19673.02</v>
      </c>
      <c r="G6" s="54">
        <f t="shared" si="0"/>
        <v>-100.69000000000005</v>
      </c>
      <c r="H6" s="56">
        <f t="shared" si="0"/>
        <v>-458.35000000000218</v>
      </c>
      <c r="I6" s="55"/>
      <c r="J6" s="56">
        <f>I6+июль!J6</f>
        <v>0</v>
      </c>
      <c r="K6" s="53"/>
      <c r="L6" s="54">
        <f>K6+июль!L6</f>
        <v>0</v>
      </c>
    </row>
    <row r="7" spans="1:13" s="57" customFormat="1">
      <c r="A7" s="51">
        <f t="shared" si="1"/>
        <v>5</v>
      </c>
      <c r="B7" s="52" t="str">
        <f>июль!B7</f>
        <v>Сод.и ремонт лифтов</v>
      </c>
      <c r="C7" s="53">
        <f>1834.6+11247.91</f>
        <v>13082.51</v>
      </c>
      <c r="D7" s="54">
        <f>C7+июль!D7</f>
        <v>119552.23999999998</v>
      </c>
      <c r="E7" s="55">
        <f>1627.85+11812.39</f>
        <v>13440.24</v>
      </c>
      <c r="F7" s="54">
        <f>E7+июль!F7</f>
        <v>122085.04000000001</v>
      </c>
      <c r="G7" s="54">
        <f t="shared" si="0"/>
        <v>357.72999999999956</v>
      </c>
      <c r="H7" s="56">
        <f t="shared" si="0"/>
        <v>2532.800000000032</v>
      </c>
      <c r="I7" s="55"/>
      <c r="J7" s="56">
        <f>I7+июль!J7</f>
        <v>0</v>
      </c>
      <c r="K7" s="53"/>
      <c r="L7" s="54">
        <f>K7+июль!L7</f>
        <v>0</v>
      </c>
    </row>
    <row r="8" spans="1:13" s="57" customFormat="1">
      <c r="A8" s="51">
        <f t="shared" si="1"/>
        <v>6</v>
      </c>
      <c r="B8" s="52" t="str">
        <f>июль!B8</f>
        <v>Очистка мусоропроводов</v>
      </c>
      <c r="C8" s="53">
        <f>1319.93+8051.3</f>
        <v>9371.23</v>
      </c>
      <c r="D8" s="54">
        <f>C8+июль!D8</f>
        <v>66959.169999999984</v>
      </c>
      <c r="E8" s="55">
        <f>992.08+7804.11</f>
        <v>8796.19</v>
      </c>
      <c r="F8" s="54">
        <f>E8+июль!F8</f>
        <v>64138.580000000009</v>
      </c>
      <c r="G8" s="54">
        <f t="shared" si="0"/>
        <v>-575.03999999999905</v>
      </c>
      <c r="H8" s="56">
        <f t="shared" si="0"/>
        <v>-2820.5899999999747</v>
      </c>
      <c r="I8" s="55"/>
      <c r="J8" s="56">
        <f>I8+июль!J8</f>
        <v>0</v>
      </c>
      <c r="K8" s="53"/>
      <c r="L8" s="54">
        <f>K8+июль!L8</f>
        <v>0</v>
      </c>
    </row>
    <row r="9" spans="1:13" s="57" customFormat="1">
      <c r="A9" s="51">
        <f t="shared" si="1"/>
        <v>7</v>
      </c>
      <c r="B9" s="52" t="str">
        <f>июль!B9</f>
        <v>Уборка и сан.очистка зем.уч.</v>
      </c>
      <c r="C9" s="53">
        <f>1560.67+9568.35</f>
        <v>11129.02</v>
      </c>
      <c r="D9" s="54">
        <f>C9+июль!D9</f>
        <v>84851.81</v>
      </c>
      <c r="E9" s="55">
        <f>1221.31+9338.03</f>
        <v>10559.34</v>
      </c>
      <c r="F9" s="54">
        <f>E9+июль!F9</f>
        <v>80477.51999999999</v>
      </c>
      <c r="G9" s="54">
        <f t="shared" si="0"/>
        <v>-569.68000000000029</v>
      </c>
      <c r="H9" s="56">
        <f t="shared" si="0"/>
        <v>-4374.2900000000081</v>
      </c>
      <c r="I9" s="55"/>
      <c r="J9" s="56">
        <f>I9+июль!J9</f>
        <v>0</v>
      </c>
      <c r="K9" s="53"/>
      <c r="L9" s="54">
        <f>K9+июль!L9</f>
        <v>0</v>
      </c>
    </row>
    <row r="10" spans="1:13" s="57" customFormat="1">
      <c r="A10" s="51">
        <f t="shared" si="1"/>
        <v>8</v>
      </c>
      <c r="B10" s="52" t="str">
        <f>июль!B10</f>
        <v>Электроснабжение(инд.потр)</v>
      </c>
      <c r="C10" s="53">
        <f>15531.2+91194.8</f>
        <v>106726</v>
      </c>
      <c r="D10" s="54">
        <f>C10+июль!D10</f>
        <v>781701.52999999991</v>
      </c>
      <c r="E10" s="55">
        <f>11215.23+87826.42</f>
        <v>99041.65</v>
      </c>
      <c r="F10" s="54">
        <f>E10+июль!F10</f>
        <v>719580.29</v>
      </c>
      <c r="G10" s="54">
        <f t="shared" si="0"/>
        <v>-7684.3500000000058</v>
      </c>
      <c r="H10" s="56">
        <f t="shared" si="0"/>
        <v>-62121.239999999874</v>
      </c>
      <c r="I10" s="55"/>
      <c r="J10" s="56">
        <f>I10+июль!J10</f>
        <v>0</v>
      </c>
      <c r="K10" s="53"/>
      <c r="L10" s="54">
        <f>K10+июль!L10</f>
        <v>0</v>
      </c>
    </row>
    <row r="11" spans="1:13" s="57" customFormat="1">
      <c r="A11" s="51">
        <f t="shared" si="1"/>
        <v>9</v>
      </c>
      <c r="B11" s="52" t="str">
        <f>июль!B11</f>
        <v>Холодная вода</v>
      </c>
      <c r="C11" s="53">
        <f>10320.81+52380.43</f>
        <v>62701.24</v>
      </c>
      <c r="D11" s="54">
        <f>C11+июль!D11</f>
        <v>446137.11999999994</v>
      </c>
      <c r="E11" s="55">
        <f>7685.23+48479.15</f>
        <v>56164.380000000005</v>
      </c>
      <c r="F11" s="54">
        <f>E11+июль!F11</f>
        <v>396856.42</v>
      </c>
      <c r="G11" s="54">
        <f t="shared" si="0"/>
        <v>-6536.8599999999933</v>
      </c>
      <c r="H11" s="56">
        <f t="shared" si="0"/>
        <v>-49280.699999999953</v>
      </c>
      <c r="I11" s="55"/>
      <c r="J11" s="56">
        <f>I11+июль!J11</f>
        <v>0</v>
      </c>
      <c r="K11" s="53"/>
      <c r="L11" s="54">
        <f>K11+июль!L11</f>
        <v>0</v>
      </c>
    </row>
    <row r="12" spans="1:13" s="57" customFormat="1">
      <c r="A12" s="51">
        <f t="shared" si="1"/>
        <v>10</v>
      </c>
      <c r="B12" s="69" t="str">
        <f>июль!B12</f>
        <v>Канализирование х.воды</v>
      </c>
      <c r="C12" s="53">
        <v>0</v>
      </c>
      <c r="D12" s="54">
        <f>C12+июль!D12</f>
        <v>-2210.14</v>
      </c>
      <c r="E12" s="55">
        <v>0</v>
      </c>
      <c r="F12" s="54">
        <f>E12+июль!F12</f>
        <v>734.48</v>
      </c>
      <c r="G12" s="54">
        <f t="shared" si="0"/>
        <v>0</v>
      </c>
      <c r="H12" s="56">
        <f t="shared" si="0"/>
        <v>2944.62</v>
      </c>
      <c r="I12" s="55"/>
      <c r="J12" s="56">
        <f>I12+июль!J12</f>
        <v>0</v>
      </c>
      <c r="K12" s="53"/>
      <c r="L12" s="54">
        <f>K12+июль!L12</f>
        <v>0</v>
      </c>
    </row>
    <row r="13" spans="1:13" s="57" customFormat="1">
      <c r="A13" s="51">
        <f t="shared" si="1"/>
        <v>11</v>
      </c>
      <c r="B13" s="52" t="str">
        <f>июль!B13</f>
        <v>Канализирование г.воды</v>
      </c>
      <c r="C13" s="53">
        <v>0</v>
      </c>
      <c r="D13" s="54">
        <f>C13+июль!D13</f>
        <v>-1504.92</v>
      </c>
      <c r="E13" s="55">
        <v>0</v>
      </c>
      <c r="F13" s="54">
        <f>E13+июль!F13</f>
        <v>309.72000000000003</v>
      </c>
      <c r="G13" s="54">
        <f t="shared" si="0"/>
        <v>0</v>
      </c>
      <c r="H13" s="56">
        <f t="shared" si="0"/>
        <v>1814.64</v>
      </c>
      <c r="I13" s="55"/>
      <c r="J13" s="56">
        <f>I13+июль!J13</f>
        <v>0</v>
      </c>
      <c r="K13" s="53"/>
      <c r="L13" s="54">
        <f>K13+июль!L13</f>
        <v>0</v>
      </c>
    </row>
    <row r="14" spans="1:13" s="57" customFormat="1">
      <c r="A14" s="51">
        <f t="shared" si="1"/>
        <v>12</v>
      </c>
      <c r="B14" s="52" t="str">
        <f>июль!B14</f>
        <v>Тек.ремонт общ.имущ.дома</v>
      </c>
      <c r="C14" s="53">
        <f>5155.16+31606.07</f>
        <v>36761.229999999996</v>
      </c>
      <c r="D14" s="54">
        <f>C14+июль!D14</f>
        <v>284976.11999999994</v>
      </c>
      <c r="E14" s="55">
        <f>4086.8+31834.18</f>
        <v>35920.980000000003</v>
      </c>
      <c r="F14" s="54">
        <f>E14+июль!F14</f>
        <v>278701.55</v>
      </c>
      <c r="G14" s="54">
        <f t="shared" si="0"/>
        <v>-840.24999999999272</v>
      </c>
      <c r="H14" s="56">
        <f t="shared" si="0"/>
        <v>-6274.5699999999488</v>
      </c>
      <c r="I14" s="55"/>
      <c r="J14" s="56">
        <f>I14+июль!J14</f>
        <v>0</v>
      </c>
      <c r="K14" s="53"/>
      <c r="L14" s="54">
        <f>K14+июль!L14</f>
        <v>0</v>
      </c>
    </row>
    <row r="15" spans="1:13" s="57" customFormat="1">
      <c r="A15" s="51">
        <f t="shared" si="1"/>
        <v>13</v>
      </c>
      <c r="B15" s="52" t="str">
        <f>июль!B15</f>
        <v>Управление многокварт.домом</v>
      </c>
      <c r="C15" s="53">
        <f>2490.42+15268.62</f>
        <v>17759.04</v>
      </c>
      <c r="D15" s="54">
        <f>C15+июль!D15</f>
        <v>124255.20000000001</v>
      </c>
      <c r="E15" s="55">
        <f>1836.99+14317.32</f>
        <v>16154.31</v>
      </c>
      <c r="F15" s="54">
        <f>E15+июль!F15</f>
        <v>113350.7</v>
      </c>
      <c r="G15" s="54">
        <f t="shared" si="0"/>
        <v>-1604.7300000000014</v>
      </c>
      <c r="H15" s="56">
        <f t="shared" si="0"/>
        <v>-10904.500000000015</v>
      </c>
      <c r="I15" s="55"/>
      <c r="J15" s="56">
        <f>I15+июль!J15</f>
        <v>0</v>
      </c>
      <c r="K15" s="53"/>
      <c r="L15" s="54">
        <f>K15+июль!L15</f>
        <v>0</v>
      </c>
    </row>
    <row r="16" spans="1:13" s="57" customFormat="1">
      <c r="A16" s="51">
        <f t="shared" si="1"/>
        <v>14</v>
      </c>
      <c r="B16" s="52" t="str">
        <f>июль!B16</f>
        <v>Водоотведение (кв)</v>
      </c>
      <c r="C16" s="53">
        <f>17650.74+89184.39</f>
        <v>106835.13</v>
      </c>
      <c r="D16" s="54">
        <f>C16+июль!D16</f>
        <v>763945.30999999994</v>
      </c>
      <c r="E16" s="55">
        <f>13143.42+82762.43</f>
        <v>95905.849999999991</v>
      </c>
      <c r="F16" s="54">
        <f>E16+июль!F16</f>
        <v>679415.82</v>
      </c>
      <c r="G16" s="54">
        <f t="shared" si="0"/>
        <v>-10929.280000000013</v>
      </c>
      <c r="H16" s="56">
        <f t="shared" si="0"/>
        <v>-84529.489999999991</v>
      </c>
      <c r="I16" s="55"/>
      <c r="J16" s="56">
        <f>I16+июль!J16</f>
        <v>0</v>
      </c>
      <c r="K16" s="53"/>
      <c r="L16" s="54">
        <f>K16+июль!L16</f>
        <v>0</v>
      </c>
    </row>
    <row r="17" spans="1:12" s="57" customFormat="1">
      <c r="A17" s="51">
        <f t="shared" si="1"/>
        <v>15</v>
      </c>
      <c r="B17" s="52" t="str">
        <f>июль!B17</f>
        <v>Эксплуатация общедомовых ПУ</v>
      </c>
      <c r="C17" s="53">
        <f>547.9+3359.15</f>
        <v>3907.05</v>
      </c>
      <c r="D17" s="54">
        <f>C17+июль!D17</f>
        <v>30116.969999999998</v>
      </c>
      <c r="E17" s="55">
        <f>434.34+3348.08</f>
        <v>3782.42</v>
      </c>
      <c r="F17" s="54">
        <f>E17+июль!F17</f>
        <v>29607.439999999995</v>
      </c>
      <c r="G17" s="54">
        <f t="shared" si="0"/>
        <v>-124.63000000000011</v>
      </c>
      <c r="H17" s="56">
        <f t="shared" si="0"/>
        <v>-509.53000000000247</v>
      </c>
      <c r="I17" s="55"/>
      <c r="J17" s="56">
        <f>I17+июль!J17</f>
        <v>0</v>
      </c>
      <c r="K17" s="53"/>
      <c r="L17" s="54">
        <f>K17+июль!L17</f>
        <v>0</v>
      </c>
    </row>
    <row r="18" spans="1:12" s="57" customFormat="1">
      <c r="A18" s="51">
        <f t="shared" si="1"/>
        <v>16</v>
      </c>
      <c r="B18" s="52" t="str">
        <f>июль!B18</f>
        <v>Хол.водоснабжение(о/д нужды)</v>
      </c>
      <c r="C18" s="53">
        <f>264.55+1624.22</f>
        <v>1888.77</v>
      </c>
      <c r="D18" s="54">
        <f>C18+июль!D18</f>
        <v>13611.000000000002</v>
      </c>
      <c r="E18" s="55">
        <f>202.37+2111.97</f>
        <v>2314.3399999999997</v>
      </c>
      <c r="F18" s="54">
        <f>E18+июль!F18</f>
        <v>17913.849999999999</v>
      </c>
      <c r="G18" s="54">
        <f t="shared" si="0"/>
        <v>425.56999999999971</v>
      </c>
      <c r="H18" s="56">
        <f t="shared" si="0"/>
        <v>4302.8499999999967</v>
      </c>
      <c r="I18" s="55"/>
      <c r="J18" s="56">
        <f>I18+июль!J18</f>
        <v>0</v>
      </c>
      <c r="K18" s="53"/>
      <c r="L18" s="54">
        <f>K18+июль!L18</f>
        <v>0</v>
      </c>
    </row>
    <row r="19" spans="1:12" s="57" customFormat="1">
      <c r="A19" s="51">
        <f t="shared" si="1"/>
        <v>17</v>
      </c>
      <c r="B19" s="52" t="str">
        <f>июль!B19</f>
        <v>Водоотведение(о/д нужды)</v>
      </c>
      <c r="C19" s="53">
        <v>0</v>
      </c>
      <c r="D19" s="54">
        <f>C19+июль!D19</f>
        <v>-190.85</v>
      </c>
      <c r="E19" s="55">
        <v>0</v>
      </c>
      <c r="F19" s="54">
        <f>E19+июль!F19</f>
        <v>223.08</v>
      </c>
      <c r="G19" s="54">
        <f t="shared" si="0"/>
        <v>0</v>
      </c>
      <c r="H19" s="56">
        <f t="shared" si="0"/>
        <v>413.93</v>
      </c>
      <c r="I19" s="55"/>
      <c r="J19" s="56">
        <f>I19+июль!J19</f>
        <v>0</v>
      </c>
      <c r="K19" s="53"/>
      <c r="L19" s="54">
        <f>K19+июль!L19</f>
        <v>0</v>
      </c>
    </row>
    <row r="20" spans="1:12" s="57" customFormat="1">
      <c r="A20" s="51">
        <f t="shared" si="1"/>
        <v>18</v>
      </c>
      <c r="B20" s="52" t="str">
        <f>июль!B20</f>
        <v>Отопление (о/д нужды)</v>
      </c>
      <c r="C20" s="53">
        <v>0</v>
      </c>
      <c r="D20" s="54">
        <f>C20+июль!D20</f>
        <v>-848.48</v>
      </c>
      <c r="E20" s="55">
        <v>0</v>
      </c>
      <c r="F20" s="54">
        <f>E20+июль!F20</f>
        <v>786.61</v>
      </c>
      <c r="G20" s="54">
        <f t="shared" si="0"/>
        <v>0</v>
      </c>
      <c r="H20" s="56">
        <f t="shared" si="0"/>
        <v>1635.0900000000001</v>
      </c>
      <c r="I20" s="55"/>
      <c r="J20" s="56">
        <f>I20+июль!J20</f>
        <v>0</v>
      </c>
      <c r="K20" s="53"/>
      <c r="L20" s="54">
        <f>K20+июль!L20</f>
        <v>0</v>
      </c>
    </row>
    <row r="21" spans="1:12" s="57" customFormat="1">
      <c r="A21" s="51">
        <f t="shared" si="1"/>
        <v>19</v>
      </c>
      <c r="B21" s="52" t="str">
        <f>июль!B21</f>
        <v>Электроснабжение(оющед.нужд)</v>
      </c>
      <c r="C21" s="53">
        <f>86.46+529.33+2559.87</f>
        <v>3175.66</v>
      </c>
      <c r="D21" s="54">
        <f>C21+июль!D21</f>
        <v>253074.65000000005</v>
      </c>
      <c r="E21" s="55">
        <f>2280.81+11913.01+519.74</f>
        <v>14713.56</v>
      </c>
      <c r="F21" s="54">
        <f>E21+июль!F21</f>
        <v>309695.14</v>
      </c>
      <c r="G21" s="54">
        <f t="shared" si="0"/>
        <v>11537.9</v>
      </c>
      <c r="H21" s="56">
        <f t="shared" si="0"/>
        <v>56620.489999999962</v>
      </c>
      <c r="I21" s="55"/>
      <c r="J21" s="56">
        <f>I21+июль!J21</f>
        <v>0</v>
      </c>
      <c r="K21" s="53"/>
      <c r="L21" s="54">
        <f>K21+июль!L21</f>
        <v>0</v>
      </c>
    </row>
    <row r="22" spans="1:12" s="57" customFormat="1" ht="16.5" customHeight="1">
      <c r="A22" s="51">
        <f t="shared" si="1"/>
        <v>20</v>
      </c>
      <c r="B22" s="52" t="str">
        <f>июль!B22</f>
        <v>Горячее водоснабжение(о/д нужды)</v>
      </c>
      <c r="C22" s="53">
        <f>565.7+3488.42</f>
        <v>4054.12</v>
      </c>
      <c r="D22" s="54">
        <f>C22+июль!D22</f>
        <v>40176.610000000008</v>
      </c>
      <c r="E22" s="55">
        <f>444.03+3714.03</f>
        <v>4158.0600000000004</v>
      </c>
      <c r="F22" s="54">
        <f>E22+июль!F22</f>
        <v>47549.569999999992</v>
      </c>
      <c r="G22" s="54">
        <f t="shared" si="0"/>
        <v>103.94000000000051</v>
      </c>
      <c r="H22" s="56">
        <f t="shared" si="0"/>
        <v>7372.9599999999846</v>
      </c>
      <c r="I22" s="55"/>
      <c r="J22" s="56">
        <f>I22+июль!J22</f>
        <v>0</v>
      </c>
      <c r="K22" s="53"/>
      <c r="L22" s="54">
        <f>K22+июль!L22</f>
        <v>0</v>
      </c>
    </row>
    <row r="23" spans="1:12" s="57" customFormat="1">
      <c r="A23" s="59"/>
      <c r="B23" s="60" t="s">
        <v>12</v>
      </c>
      <c r="C23" s="67">
        <f t="shared" ref="C23:L23" si="2">SUM(C3:C22)</f>
        <v>607249.96000000008</v>
      </c>
      <c r="D23" s="54">
        <f t="shared" si="2"/>
        <v>5798343.3200000003</v>
      </c>
      <c r="E23" s="68">
        <f t="shared" si="2"/>
        <v>615511.12000000011</v>
      </c>
      <c r="F23" s="54">
        <f t="shared" si="2"/>
        <v>5702139.0100000007</v>
      </c>
      <c r="G23" s="54">
        <f t="shared" si="2"/>
        <v>8261.1599999999853</v>
      </c>
      <c r="H23" s="56">
        <f t="shared" si="2"/>
        <v>-96204.310000000201</v>
      </c>
      <c r="I23" s="56">
        <f t="shared" si="2"/>
        <v>0</v>
      </c>
      <c r="J23" s="56">
        <f t="shared" si="2"/>
        <v>0</v>
      </c>
      <c r="K23" s="54">
        <f t="shared" si="2"/>
        <v>0</v>
      </c>
      <c r="L23" s="54">
        <f t="shared" si="2"/>
        <v>0</v>
      </c>
    </row>
    <row r="24" spans="1:12" s="57" customFormat="1" ht="18" customHeight="1"/>
    <row r="25" spans="1:12" s="57" customFormat="1" ht="18" customHeight="1">
      <c r="B25" s="41" t="s">
        <v>36</v>
      </c>
      <c r="C25" s="9">
        <f t="shared" ref="C25:H25" si="3">C3+C6+C7+C8+C9+C14+C15+C17</f>
        <v>168229.04</v>
      </c>
      <c r="D25" s="9">
        <f t="shared" si="3"/>
        <v>1283123.0299999998</v>
      </c>
      <c r="E25" s="9">
        <f t="shared" si="3"/>
        <v>160533.76000000001</v>
      </c>
      <c r="F25" s="9">
        <f t="shared" si="3"/>
        <v>1234972.0699999998</v>
      </c>
      <c r="G25" s="9">
        <f t="shared" si="3"/>
        <v>-7695.28</v>
      </c>
      <c r="H25" s="9">
        <f t="shared" si="3"/>
        <v>-48150.959999999963</v>
      </c>
    </row>
    <row r="26" spans="1:12" s="57" customFormat="1" ht="18" customHeight="1">
      <c r="C26" s="61"/>
    </row>
    <row r="27" spans="1:12" s="57" customFormat="1" ht="18" customHeight="1"/>
    <row r="28" spans="1:12" s="57" customFormat="1" ht="18" customHeight="1">
      <c r="B28" s="51" t="s">
        <v>38</v>
      </c>
      <c r="C28" s="55">
        <f>C11+C12+C13+C16+C18+C19</f>
        <v>171425.13999999998</v>
      </c>
      <c r="D28" s="55">
        <f t="shared" ref="D28:J28" si="4">D11+D12+D13+D16+D18+D19</f>
        <v>1219787.5199999998</v>
      </c>
      <c r="E28" s="55">
        <f t="shared" si="4"/>
        <v>154384.56999999998</v>
      </c>
      <c r="F28" s="55">
        <f t="shared" si="4"/>
        <v>1095453.3700000001</v>
      </c>
      <c r="G28" s="55">
        <f t="shared" si="4"/>
        <v>-17040.570000000007</v>
      </c>
      <c r="H28" s="55">
        <f t="shared" si="4"/>
        <v>-124334.14999999995</v>
      </c>
      <c r="I28" s="55">
        <f t="shared" si="4"/>
        <v>0</v>
      </c>
      <c r="J28" s="55">
        <f t="shared" si="4"/>
        <v>0</v>
      </c>
    </row>
    <row r="29" spans="1:12" s="57" customFormat="1">
      <c r="B29" s="51" t="s">
        <v>39</v>
      </c>
      <c r="C29" s="55">
        <f>C10+C21</f>
        <v>109901.66</v>
      </c>
      <c r="D29" s="55">
        <f t="shared" ref="D29:J29" si="5">D10+D21</f>
        <v>1034776.1799999999</v>
      </c>
      <c r="E29" s="55">
        <f t="shared" si="5"/>
        <v>113755.20999999999</v>
      </c>
      <c r="F29" s="55">
        <f t="shared" si="5"/>
        <v>1029275.43</v>
      </c>
      <c r="G29" s="55">
        <f t="shared" si="5"/>
        <v>3853.5499999999938</v>
      </c>
      <c r="H29" s="55">
        <f t="shared" si="5"/>
        <v>-5500.7499999999127</v>
      </c>
      <c r="I29" s="55">
        <f t="shared" si="5"/>
        <v>0</v>
      </c>
      <c r="J29" s="55">
        <f t="shared" si="5"/>
        <v>0</v>
      </c>
    </row>
    <row r="30" spans="1:12" s="57" customFormat="1">
      <c r="B30" s="51" t="s">
        <v>40</v>
      </c>
      <c r="C30" s="55">
        <f>C4+C5+C20+C22</f>
        <v>157694.12</v>
      </c>
      <c r="D30" s="55">
        <f t="shared" ref="D30:J30" si="6">D4+D5+D20+D22</f>
        <v>2260656.59</v>
      </c>
      <c r="E30" s="55">
        <f t="shared" si="6"/>
        <v>186837.58</v>
      </c>
      <c r="F30" s="55">
        <f t="shared" si="6"/>
        <v>2342438.1399999997</v>
      </c>
      <c r="G30" s="55">
        <f t="shared" si="6"/>
        <v>29143.46</v>
      </c>
      <c r="H30" s="55">
        <f t="shared" si="6"/>
        <v>81781.549999999639</v>
      </c>
      <c r="I30" s="55">
        <f t="shared" si="6"/>
        <v>0</v>
      </c>
      <c r="J30" s="55">
        <f t="shared" si="6"/>
        <v>0</v>
      </c>
    </row>
    <row r="33" spans="3:9">
      <c r="C33">
        <f>93562.34+513687.62</f>
        <v>607249.96</v>
      </c>
      <c r="E33">
        <f>82570.16+532940.96</f>
        <v>615511.12</v>
      </c>
    </row>
    <row r="35" spans="3:9">
      <c r="E35" s="25"/>
    </row>
    <row r="36" spans="3:9">
      <c r="H36" s="11"/>
      <c r="I36" s="11"/>
    </row>
  </sheetData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G38" sqref="G38"/>
    </sheetView>
  </sheetViews>
  <sheetFormatPr defaultRowHeight="12.75"/>
  <cols>
    <col min="1" max="1" width="4.140625" customWidth="1"/>
    <col min="2" max="2" width="33.7109375" style="36" customWidth="1"/>
    <col min="3" max="3" width="14.42578125" customWidth="1"/>
    <col min="4" max="4" width="11.42578125" customWidth="1"/>
    <col min="5" max="5" width="15.85546875" customWidth="1"/>
    <col min="6" max="6" width="11.28515625" customWidth="1"/>
    <col min="7" max="7" width="10.5703125" customWidth="1"/>
    <col min="8" max="8" width="11.5703125" customWidth="1"/>
    <col min="9" max="9" width="10.28515625" customWidth="1"/>
    <col min="10" max="10" width="12.85546875" customWidth="1"/>
    <col min="11" max="11" width="10.140625" bestFit="1" customWidth="1"/>
    <col min="12" max="12" width="12.140625" customWidth="1"/>
    <col min="13" max="13" width="9.7109375" bestFit="1" customWidth="1"/>
  </cols>
  <sheetData>
    <row r="1" spans="1:13">
      <c r="B1" s="39"/>
      <c r="C1" s="11" t="s">
        <v>50</v>
      </c>
      <c r="D1" s="11"/>
      <c r="E1" s="11"/>
    </row>
    <row r="2" spans="1:13" s="32" customFormat="1" ht="25.5">
      <c r="A2" s="31" t="s">
        <v>0</v>
      </c>
      <c r="B2" s="37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>
      <c r="A3" s="1">
        <v>1</v>
      </c>
      <c r="B3" s="34" t="str">
        <f>август!B3</f>
        <v>Содержание общ.имущ.дома</v>
      </c>
      <c r="C3" s="8">
        <f>62926.67+10335.27</f>
        <v>73261.94</v>
      </c>
      <c r="D3" s="18">
        <f>C3+август!D3</f>
        <v>625542.09000000008</v>
      </c>
      <c r="E3" s="8">
        <f>71344.9+8985.45</f>
        <v>80330.349999999991</v>
      </c>
      <c r="F3" s="18">
        <f>E3+август!F3</f>
        <v>607268.56999999995</v>
      </c>
      <c r="G3" s="18">
        <f>E3-C3</f>
        <v>7068.4099999999889</v>
      </c>
      <c r="H3" s="20">
        <f>F3-D3</f>
        <v>-18273.520000000135</v>
      </c>
      <c r="I3" s="9"/>
      <c r="J3" s="20">
        <f>I3+август!J3</f>
        <v>0</v>
      </c>
      <c r="K3" s="8"/>
      <c r="L3" s="18">
        <f>K3+август!L3</f>
        <v>0</v>
      </c>
    </row>
    <row r="4" spans="1:13">
      <c r="A4" s="1">
        <f>A3+1</f>
        <v>2</v>
      </c>
      <c r="B4" s="34" t="str">
        <f>август!B4</f>
        <v>Отопление</v>
      </c>
      <c r="C4" s="8">
        <v>0</v>
      </c>
      <c r="D4" s="18">
        <f>C4+август!D4</f>
        <v>1096799.26</v>
      </c>
      <c r="E4" s="8">
        <f>40003.67+3598.36</f>
        <v>43602.03</v>
      </c>
      <c r="F4" s="18">
        <f>E4+август!F4</f>
        <v>1340589.94</v>
      </c>
      <c r="G4" s="18">
        <f t="shared" ref="G4:H22" si="0">E4-C4</f>
        <v>43602.03</v>
      </c>
      <c r="H4" s="20">
        <f t="shared" si="0"/>
        <v>243790.67999999993</v>
      </c>
      <c r="I4" s="9"/>
      <c r="J4" s="20">
        <f>I4+август!J4</f>
        <v>0</v>
      </c>
      <c r="K4" s="8"/>
      <c r="L4" s="18">
        <f>K4+август!L4</f>
        <v>0</v>
      </c>
      <c r="M4" s="25">
        <f>L4-J4</f>
        <v>0</v>
      </c>
    </row>
    <row r="5" spans="1:13">
      <c r="A5" s="1">
        <f t="shared" ref="A5:A22" si="1">A4+1</f>
        <v>3</v>
      </c>
      <c r="B5" s="34" t="str">
        <f>август!B5</f>
        <v>Горячее водоснабжение</v>
      </c>
      <c r="C5" s="8">
        <f>126130.56+25517.1</f>
        <v>151647.66</v>
      </c>
      <c r="D5" s="18">
        <f>C5+август!D5</f>
        <v>1276176.8600000001</v>
      </c>
      <c r="E5" s="8">
        <f>130635.56+19850.63</f>
        <v>150486.19</v>
      </c>
      <c r="F5" s="18">
        <f>E5+август!F5</f>
        <v>1147600.24</v>
      </c>
      <c r="G5" s="18">
        <f t="shared" si="0"/>
        <v>-1161.4700000000012</v>
      </c>
      <c r="H5" s="20">
        <f t="shared" si="0"/>
        <v>-128576.62000000011</v>
      </c>
      <c r="I5" s="9"/>
      <c r="J5" s="20">
        <f>I5+август!J5</f>
        <v>0</v>
      </c>
      <c r="K5" s="8"/>
      <c r="L5" s="18">
        <f>K5+август!L5</f>
        <v>0</v>
      </c>
    </row>
    <row r="6" spans="1:13">
      <c r="A6" s="1">
        <f t="shared" si="1"/>
        <v>4</v>
      </c>
      <c r="B6" s="34" t="str">
        <f>август!B6</f>
        <v>Сод.и ремонт АППЗ</v>
      </c>
      <c r="C6" s="8">
        <f>2231.06+365.24</f>
        <v>2596.3000000000002</v>
      </c>
      <c r="D6" s="18">
        <f>C6+август!D6</f>
        <v>22727.670000000002</v>
      </c>
      <c r="E6" s="8">
        <f>2589.41+342.75</f>
        <v>2932.16</v>
      </c>
      <c r="F6" s="18">
        <f>E6+август!F6</f>
        <v>22605.18</v>
      </c>
      <c r="G6" s="18">
        <f t="shared" si="0"/>
        <v>335.85999999999967</v>
      </c>
      <c r="H6" s="20">
        <f t="shared" si="0"/>
        <v>-122.4900000000016</v>
      </c>
      <c r="I6" s="9"/>
      <c r="J6" s="20">
        <f>I6+август!J6</f>
        <v>0</v>
      </c>
      <c r="K6" s="8"/>
      <c r="L6" s="18">
        <f>K6+август!L6</f>
        <v>0</v>
      </c>
    </row>
    <row r="7" spans="1:13">
      <c r="A7" s="1">
        <f t="shared" si="1"/>
        <v>5</v>
      </c>
      <c r="B7" s="34" t="str">
        <f>август!B7</f>
        <v>Сод.и ремонт лифтов</v>
      </c>
      <c r="C7" s="8">
        <f>11206.12+1834.6</f>
        <v>13040.720000000001</v>
      </c>
      <c r="D7" s="18">
        <f>C7+август!D7</f>
        <v>132592.95999999996</v>
      </c>
      <c r="E7" s="8">
        <f>13723.24+1927.87</f>
        <v>15651.11</v>
      </c>
      <c r="F7" s="18">
        <f>E7+август!F7</f>
        <v>137736.15000000002</v>
      </c>
      <c r="G7" s="18">
        <f t="shared" si="0"/>
        <v>2610.3899999999994</v>
      </c>
      <c r="H7" s="20">
        <f t="shared" si="0"/>
        <v>5143.1900000000605</v>
      </c>
      <c r="I7" s="9"/>
      <c r="J7" s="20">
        <f>I7+август!J7</f>
        <v>0</v>
      </c>
      <c r="K7" s="8"/>
      <c r="L7" s="18">
        <f>K7+август!L7</f>
        <v>0</v>
      </c>
    </row>
    <row r="8" spans="1:13">
      <c r="A8" s="1">
        <f t="shared" si="1"/>
        <v>6</v>
      </c>
      <c r="B8" s="34" t="str">
        <f>август!B8</f>
        <v>Очистка мусоропроводов</v>
      </c>
      <c r="C8" s="8">
        <f>8021.23+1319.93</f>
        <v>9341.16</v>
      </c>
      <c r="D8" s="18">
        <f>C8+август!D8</f>
        <v>76300.329999999987</v>
      </c>
      <c r="E8" s="8">
        <f>8983.38+1118.02</f>
        <v>10101.4</v>
      </c>
      <c r="F8" s="18">
        <f>E8+август!F8</f>
        <v>74239.98000000001</v>
      </c>
      <c r="G8" s="18">
        <f t="shared" si="0"/>
        <v>760.23999999999978</v>
      </c>
      <c r="H8" s="20">
        <f t="shared" si="0"/>
        <v>-2060.3499999999767</v>
      </c>
      <c r="I8" s="9"/>
      <c r="J8" s="20">
        <f>I8+август!J8</f>
        <v>0</v>
      </c>
      <c r="K8" s="8"/>
      <c r="L8" s="18">
        <f>K8+август!L8</f>
        <v>0</v>
      </c>
    </row>
    <row r="9" spans="1:13">
      <c r="A9" s="1">
        <f t="shared" si="1"/>
        <v>7</v>
      </c>
      <c r="B9" s="34" t="str">
        <f>август!B9</f>
        <v>Уборка и сан.очистка зем.уч.</v>
      </c>
      <c r="C9" s="8">
        <f>9532.8+1560.67</f>
        <v>11093.47</v>
      </c>
      <c r="D9" s="18">
        <f>C9+август!D9</f>
        <v>95945.279999999999</v>
      </c>
      <c r="E9" s="8">
        <f>10747.96+1323.4</f>
        <v>12071.359999999999</v>
      </c>
      <c r="F9" s="18">
        <f>E9+август!F9</f>
        <v>92548.87999999999</v>
      </c>
      <c r="G9" s="18">
        <f t="shared" si="0"/>
        <v>977.88999999999942</v>
      </c>
      <c r="H9" s="20">
        <f t="shared" si="0"/>
        <v>-3396.4000000000087</v>
      </c>
      <c r="I9" s="9"/>
      <c r="J9" s="20">
        <f>I9+август!J9</f>
        <v>0</v>
      </c>
      <c r="K9" s="8"/>
      <c r="L9" s="18">
        <f>K9+август!L9</f>
        <v>0</v>
      </c>
    </row>
    <row r="10" spans="1:13">
      <c r="A10" s="1">
        <f t="shared" si="1"/>
        <v>8</v>
      </c>
      <c r="B10" s="34" t="str">
        <f>август!B10</f>
        <v>Электроснабжение(инд.потр)</v>
      </c>
      <c r="C10" s="8">
        <f>90803.8+15531.2</f>
        <v>106335</v>
      </c>
      <c r="D10" s="18">
        <f>C10+август!D10</f>
        <v>888036.52999999991</v>
      </c>
      <c r="E10" s="8">
        <f>94289.41+13110.4</f>
        <v>107399.81</v>
      </c>
      <c r="F10" s="18">
        <f>E10+август!F10</f>
        <v>826980.10000000009</v>
      </c>
      <c r="G10" s="18">
        <f t="shared" si="0"/>
        <v>1064.8099999999977</v>
      </c>
      <c r="H10" s="20">
        <f t="shared" si="0"/>
        <v>-61056.429999999818</v>
      </c>
      <c r="I10" s="9"/>
      <c r="J10" s="20">
        <f>I10+август!J10</f>
        <v>0</v>
      </c>
      <c r="K10" s="8"/>
      <c r="L10" s="18">
        <f>K10+август!L10</f>
        <v>0</v>
      </c>
    </row>
    <row r="11" spans="1:13">
      <c r="A11" s="1">
        <f t="shared" si="1"/>
        <v>9</v>
      </c>
      <c r="B11" s="34" t="str">
        <f>август!B11</f>
        <v>Холодная вода</v>
      </c>
      <c r="C11" s="8">
        <f>51645.64+10320.81</f>
        <v>61966.45</v>
      </c>
      <c r="D11" s="18">
        <f>C11+август!D11</f>
        <v>508103.56999999995</v>
      </c>
      <c r="E11" s="8">
        <f>53261.98+8255.79</f>
        <v>61517.770000000004</v>
      </c>
      <c r="F11" s="18">
        <f>E11+август!F11</f>
        <v>458374.19</v>
      </c>
      <c r="G11" s="18">
        <f t="shared" si="0"/>
        <v>-448.67999999999302</v>
      </c>
      <c r="H11" s="20">
        <f t="shared" si="0"/>
        <v>-49729.379999999946</v>
      </c>
      <c r="I11" s="9"/>
      <c r="J11" s="20">
        <f>I11+август!J11</f>
        <v>0</v>
      </c>
      <c r="K11" s="8"/>
      <c r="L11" s="18">
        <f>K11+август!L11</f>
        <v>0</v>
      </c>
    </row>
    <row r="12" spans="1:13">
      <c r="A12" s="1">
        <f t="shared" si="1"/>
        <v>10</v>
      </c>
      <c r="B12" s="34" t="str">
        <f>август!B12</f>
        <v>Канализирование х.воды</v>
      </c>
      <c r="C12" s="8">
        <v>0</v>
      </c>
      <c r="D12" s="18">
        <f>C12+август!D12</f>
        <v>-2210.14</v>
      </c>
      <c r="E12" s="8">
        <v>308.04000000000002</v>
      </c>
      <c r="F12" s="18">
        <f>E12+август!F12</f>
        <v>1042.52</v>
      </c>
      <c r="G12" s="18">
        <f t="shared" si="0"/>
        <v>308.04000000000002</v>
      </c>
      <c r="H12" s="20">
        <f t="shared" si="0"/>
        <v>3252.66</v>
      </c>
      <c r="I12" s="9"/>
      <c r="J12" s="20">
        <f>I12+август!J12</f>
        <v>0</v>
      </c>
      <c r="K12" s="8"/>
      <c r="L12" s="18">
        <f>K12+август!L12</f>
        <v>0</v>
      </c>
    </row>
    <row r="13" spans="1:13">
      <c r="A13" s="1">
        <f t="shared" si="1"/>
        <v>11</v>
      </c>
      <c r="B13" s="34" t="str">
        <f>август!B13</f>
        <v>Канализирование г.воды</v>
      </c>
      <c r="C13" s="8">
        <v>0</v>
      </c>
      <c r="D13" s="18">
        <f>C13+август!D13</f>
        <v>-1504.92</v>
      </c>
      <c r="E13" s="8">
        <v>209.95</v>
      </c>
      <c r="F13" s="18">
        <f>E13+август!F13</f>
        <v>519.67000000000007</v>
      </c>
      <c r="G13" s="18">
        <f t="shared" si="0"/>
        <v>209.95</v>
      </c>
      <c r="H13" s="20">
        <f t="shared" si="0"/>
        <v>2024.5900000000001</v>
      </c>
      <c r="I13" s="9"/>
      <c r="J13" s="20">
        <f>I13+август!J13</f>
        <v>0</v>
      </c>
      <c r="K13" s="8"/>
      <c r="L13" s="18">
        <f>K13+август!L13</f>
        <v>0</v>
      </c>
    </row>
    <row r="14" spans="1:13">
      <c r="A14" s="1">
        <f t="shared" si="1"/>
        <v>12</v>
      </c>
      <c r="B14" s="34" t="str">
        <f>август!B14</f>
        <v>Тек.ремонт общ.имущ.дома</v>
      </c>
      <c r="C14" s="8">
        <f>31488.64+5155.16</f>
        <v>36643.800000000003</v>
      </c>
      <c r="D14" s="18">
        <f>C14+август!D14</f>
        <v>321619.91999999993</v>
      </c>
      <c r="E14" s="8">
        <f>37047.59+4619.76</f>
        <v>41667.35</v>
      </c>
      <c r="F14" s="18">
        <f>E14+август!F14</f>
        <v>320368.89999999997</v>
      </c>
      <c r="G14" s="18">
        <f t="shared" si="0"/>
        <v>5023.5499999999956</v>
      </c>
      <c r="H14" s="20">
        <f t="shared" si="0"/>
        <v>-1251.0199999999604</v>
      </c>
      <c r="I14" s="9"/>
      <c r="J14" s="20">
        <f>I14+август!J14</f>
        <v>0</v>
      </c>
      <c r="K14" s="8"/>
      <c r="L14" s="18">
        <f>K14+август!L14</f>
        <v>0</v>
      </c>
    </row>
    <row r="15" spans="1:13" ht="14.25" customHeight="1">
      <c r="A15" s="1">
        <f t="shared" si="1"/>
        <v>13</v>
      </c>
      <c r="B15" s="34" t="str">
        <f>август!B15</f>
        <v>Управление многокварт.домом</v>
      </c>
      <c r="C15" s="8">
        <f>15211.89+2490.42</f>
        <v>17702.309999999998</v>
      </c>
      <c r="D15" s="18">
        <f>C15+август!D15</f>
        <v>141957.51</v>
      </c>
      <c r="E15" s="8">
        <f>16354.94+1805.46</f>
        <v>18160.400000000001</v>
      </c>
      <c r="F15" s="18">
        <f>E15+август!F15</f>
        <v>131511.1</v>
      </c>
      <c r="G15" s="18">
        <f t="shared" si="0"/>
        <v>458.09000000000378</v>
      </c>
      <c r="H15" s="20">
        <f t="shared" si="0"/>
        <v>-10446.410000000003</v>
      </c>
      <c r="I15" s="9"/>
      <c r="J15" s="20">
        <f>I15+август!J15</f>
        <v>0</v>
      </c>
      <c r="K15" s="8"/>
      <c r="L15" s="18">
        <f>K15+август!L15</f>
        <v>0</v>
      </c>
    </row>
    <row r="16" spans="1:13">
      <c r="A16" s="1">
        <f t="shared" si="1"/>
        <v>14</v>
      </c>
      <c r="B16" s="34" t="str">
        <f>август!B16</f>
        <v>Водоотведение (кв)</v>
      </c>
      <c r="C16" s="8">
        <f>87877.22+17650.74</f>
        <v>105527.96</v>
      </c>
      <c r="D16" s="18">
        <f>C16+август!D16</f>
        <v>869473.2699999999</v>
      </c>
      <c r="E16" s="8">
        <f>91057.52+14332.24</f>
        <v>105389.76000000001</v>
      </c>
      <c r="F16" s="18">
        <f>E16+август!F16</f>
        <v>784805.58</v>
      </c>
      <c r="G16" s="18">
        <f t="shared" si="0"/>
        <v>-138.19999999999709</v>
      </c>
      <c r="H16" s="20">
        <f t="shared" si="0"/>
        <v>-84667.689999999944</v>
      </c>
      <c r="I16" s="9"/>
      <c r="J16" s="20">
        <f>I16+август!J16</f>
        <v>0</v>
      </c>
      <c r="K16" s="8"/>
      <c r="L16" s="18">
        <f>K16+август!L16</f>
        <v>0</v>
      </c>
    </row>
    <row r="17" spans="1:12" ht="15.75" customHeight="1">
      <c r="A17" s="1">
        <f t="shared" si="1"/>
        <v>15</v>
      </c>
      <c r="B17" s="34" t="str">
        <f>август!B17</f>
        <v>Эксплуатация общедомовых ПУ</v>
      </c>
      <c r="C17" s="8">
        <f>3346.67+547.9</f>
        <v>3894.57</v>
      </c>
      <c r="D17" s="18">
        <f>C17+август!D17</f>
        <v>34011.54</v>
      </c>
      <c r="E17" s="8">
        <f>3953.43+561.78</f>
        <v>4515.21</v>
      </c>
      <c r="F17" s="18">
        <f>E17+август!F17</f>
        <v>34122.649999999994</v>
      </c>
      <c r="G17" s="18">
        <f t="shared" si="0"/>
        <v>620.63999999999987</v>
      </c>
      <c r="H17" s="20">
        <f t="shared" si="0"/>
        <v>111.10999999999331</v>
      </c>
      <c r="I17" s="9"/>
      <c r="J17" s="20">
        <f>I17+август!J17</f>
        <v>0</v>
      </c>
      <c r="K17" s="8"/>
      <c r="L17" s="18">
        <f>K17+август!L17</f>
        <v>0</v>
      </c>
    </row>
    <row r="18" spans="1:12" ht="12" customHeight="1">
      <c r="A18" s="1">
        <f t="shared" si="1"/>
        <v>16</v>
      </c>
      <c r="B18" s="34" t="str">
        <f>август!B18</f>
        <v>Хол.водоснабжение(о/д нужды)</v>
      </c>
      <c r="C18" s="8">
        <f>1618.21+264.55</f>
        <v>1882.76</v>
      </c>
      <c r="D18" s="18">
        <f>C18+август!D18</f>
        <v>15493.760000000002</v>
      </c>
      <c r="E18" s="8">
        <f>1901.22+263.28</f>
        <v>2164.5</v>
      </c>
      <c r="F18" s="18">
        <f>E18+август!F18</f>
        <v>20078.349999999999</v>
      </c>
      <c r="G18" s="18">
        <f t="shared" si="0"/>
        <v>281.74</v>
      </c>
      <c r="H18" s="20">
        <f t="shared" si="0"/>
        <v>4584.5899999999965</v>
      </c>
      <c r="I18" s="9"/>
      <c r="J18" s="20">
        <f>I18+август!J18</f>
        <v>0</v>
      </c>
      <c r="K18" s="8"/>
      <c r="L18" s="18">
        <f>K18+август!L18</f>
        <v>0</v>
      </c>
    </row>
    <row r="19" spans="1:12">
      <c r="A19" s="1">
        <f t="shared" si="1"/>
        <v>17</v>
      </c>
      <c r="B19" s="34" t="str">
        <f>август!B19</f>
        <v>Водоотведение(о/д нужды)</v>
      </c>
      <c r="C19" s="8">
        <v>0</v>
      </c>
      <c r="D19" s="18">
        <f>C19+август!D19</f>
        <v>-190.85</v>
      </c>
      <c r="E19" s="8">
        <v>0</v>
      </c>
      <c r="F19" s="18">
        <f>E19+август!F19</f>
        <v>223.08</v>
      </c>
      <c r="G19" s="18">
        <f t="shared" si="0"/>
        <v>0</v>
      </c>
      <c r="H19" s="20">
        <f t="shared" si="0"/>
        <v>413.93</v>
      </c>
      <c r="I19" s="9"/>
      <c r="J19" s="20">
        <f>I19+август!J19</f>
        <v>0</v>
      </c>
      <c r="K19" s="8"/>
      <c r="L19" s="18">
        <f>K19+август!L19</f>
        <v>0</v>
      </c>
    </row>
    <row r="20" spans="1:12">
      <c r="A20" s="1">
        <f t="shared" si="1"/>
        <v>18</v>
      </c>
      <c r="B20" s="34" t="str">
        <f>август!B20</f>
        <v>Отопление (о/д нужды)</v>
      </c>
      <c r="C20" s="8">
        <v>0</v>
      </c>
      <c r="D20" s="18">
        <f>C20+август!D20</f>
        <v>-848.48</v>
      </c>
      <c r="E20" s="8">
        <v>0</v>
      </c>
      <c r="F20" s="18">
        <f>E20+август!F20</f>
        <v>786.61</v>
      </c>
      <c r="G20" s="18">
        <f t="shared" si="0"/>
        <v>0</v>
      </c>
      <c r="H20" s="20">
        <f t="shared" si="0"/>
        <v>1635.0900000000001</v>
      </c>
      <c r="I20" s="9"/>
      <c r="J20" s="20">
        <f>I20+август!J20</f>
        <v>0</v>
      </c>
      <c r="K20" s="8"/>
      <c r="L20" s="18">
        <f>K20+август!L20</f>
        <v>0</v>
      </c>
    </row>
    <row r="21" spans="1:12" ht="15.75" customHeight="1">
      <c r="A21" s="1">
        <f t="shared" si="1"/>
        <v>19</v>
      </c>
      <c r="B21" s="34" t="str">
        <f>август!B21</f>
        <v>Электроснабжение(оющед.нужд)</v>
      </c>
      <c r="C21" s="8">
        <v>2559.87</v>
      </c>
      <c r="D21" s="18">
        <f>C21+август!D21</f>
        <v>255634.52000000005</v>
      </c>
      <c r="E21" s="8">
        <f>12252.1+2176.04+5741.34</f>
        <v>20169.48</v>
      </c>
      <c r="F21" s="18">
        <f>E21+август!F21</f>
        <v>329864.62</v>
      </c>
      <c r="G21" s="18">
        <f t="shared" si="0"/>
        <v>17609.61</v>
      </c>
      <c r="H21" s="20">
        <f t="shared" si="0"/>
        <v>74230.099999999948</v>
      </c>
      <c r="I21" s="9"/>
      <c r="J21" s="20">
        <f>I21+август!J21</f>
        <v>0</v>
      </c>
      <c r="K21" s="8"/>
      <c r="L21" s="18">
        <f>K21+август!L21</f>
        <v>0</v>
      </c>
    </row>
    <row r="22" spans="1:12" ht="16.5" customHeight="1">
      <c r="A22" s="1">
        <f t="shared" si="1"/>
        <v>20</v>
      </c>
      <c r="B22" s="34" t="str">
        <f>август!B22</f>
        <v>Горячее водоснабжение(о/д нужды)</v>
      </c>
      <c r="C22" s="8">
        <f>3474.8+565.7</f>
        <v>4040.5</v>
      </c>
      <c r="D22" s="18">
        <f>C22+август!D22</f>
        <v>44217.110000000008</v>
      </c>
      <c r="E22" s="8">
        <f>3845.49+344.38</f>
        <v>4189.87</v>
      </c>
      <c r="F22" s="18">
        <f>E22+август!F22</f>
        <v>51739.439999999995</v>
      </c>
      <c r="G22" s="18">
        <f t="shared" si="0"/>
        <v>149.36999999999989</v>
      </c>
      <c r="H22" s="20">
        <f t="shared" si="0"/>
        <v>7522.3299999999872</v>
      </c>
      <c r="I22" s="9"/>
      <c r="J22" s="20">
        <f>I22+август!J22</f>
        <v>0</v>
      </c>
      <c r="K22" s="8"/>
      <c r="L22" s="18">
        <f>K22+август!L22</f>
        <v>0</v>
      </c>
    </row>
    <row r="23" spans="1:12">
      <c r="A23" s="22"/>
      <c r="B23" s="38" t="s">
        <v>12</v>
      </c>
      <c r="C23" s="23">
        <f t="shared" ref="C23:L23" si="2">SUM(C3:C22)</f>
        <v>601534.47</v>
      </c>
      <c r="D23" s="18">
        <f t="shared" si="2"/>
        <v>6399877.79</v>
      </c>
      <c r="E23" s="24">
        <f t="shared" si="2"/>
        <v>680866.74</v>
      </c>
      <c r="F23" s="18">
        <f t="shared" si="2"/>
        <v>6383005.7500000009</v>
      </c>
      <c r="G23" s="18">
        <f t="shared" si="2"/>
        <v>79332.26999999999</v>
      </c>
      <c r="H23" s="20">
        <f t="shared" si="2"/>
        <v>-16872.040000000008</v>
      </c>
      <c r="I23" s="20">
        <f t="shared" si="2"/>
        <v>0</v>
      </c>
      <c r="J23" s="20">
        <f t="shared" si="2"/>
        <v>0</v>
      </c>
      <c r="K23" s="18">
        <f t="shared" si="2"/>
        <v>0</v>
      </c>
      <c r="L23" s="18">
        <f t="shared" si="2"/>
        <v>0</v>
      </c>
    </row>
    <row r="24" spans="1:12" ht="18.75" customHeight="1"/>
    <row r="25" spans="1:12" ht="18.75" customHeight="1">
      <c r="B25" s="41" t="s">
        <v>36</v>
      </c>
      <c r="C25" s="9">
        <f t="shared" ref="C25:H25" si="3">C3+C6+C7+C8+C9+C14+C15+C17</f>
        <v>167574.27000000002</v>
      </c>
      <c r="D25" s="9">
        <f t="shared" si="3"/>
        <v>1450697.3</v>
      </c>
      <c r="E25" s="9">
        <f t="shared" si="3"/>
        <v>185429.33999999997</v>
      </c>
      <c r="F25" s="9">
        <f t="shared" si="3"/>
        <v>1420401.41</v>
      </c>
      <c r="G25" s="9">
        <f t="shared" si="3"/>
        <v>17855.069999999985</v>
      </c>
      <c r="H25" s="9">
        <f t="shared" si="3"/>
        <v>-30295.890000000032</v>
      </c>
    </row>
    <row r="26" spans="1:12" ht="18.75" customHeight="1"/>
    <row r="27" spans="1:12" ht="18.75" customHeight="1"/>
    <row r="28" spans="1:12" ht="18.75" customHeight="1">
      <c r="B28" s="1" t="s">
        <v>38</v>
      </c>
      <c r="C28" s="9">
        <f>C11+C12+C13+C16+C18+C19</f>
        <v>169377.17</v>
      </c>
      <c r="D28" s="9">
        <f t="shared" ref="D28:J28" si="4">D11+D12+D13+D16+D18+D19</f>
        <v>1389164.6899999997</v>
      </c>
      <c r="E28" s="9">
        <f t="shared" si="4"/>
        <v>169590.02000000002</v>
      </c>
      <c r="F28" s="9">
        <f t="shared" si="4"/>
        <v>1265043.3900000001</v>
      </c>
      <c r="G28" s="9">
        <f t="shared" si="4"/>
        <v>212.85000000000991</v>
      </c>
      <c r="H28" s="9">
        <f t="shared" si="4"/>
        <v>-124121.2999999999</v>
      </c>
      <c r="I28" s="9">
        <f t="shared" si="4"/>
        <v>0</v>
      </c>
      <c r="J28" s="9">
        <f t="shared" si="4"/>
        <v>0</v>
      </c>
    </row>
    <row r="29" spans="1:12">
      <c r="B29" s="1" t="s">
        <v>39</v>
      </c>
      <c r="C29" s="9">
        <f>C10+C21</f>
        <v>108894.87</v>
      </c>
      <c r="D29" s="9">
        <f t="shared" ref="D29:J29" si="5">D10+D21</f>
        <v>1143671.05</v>
      </c>
      <c r="E29" s="9">
        <f t="shared" si="5"/>
        <v>127569.29</v>
      </c>
      <c r="F29" s="9">
        <f t="shared" si="5"/>
        <v>1156844.7200000002</v>
      </c>
      <c r="G29" s="9">
        <f t="shared" si="5"/>
        <v>18674.419999999998</v>
      </c>
      <c r="H29" s="9">
        <f t="shared" si="5"/>
        <v>13173.670000000129</v>
      </c>
      <c r="I29" s="9">
        <f t="shared" si="5"/>
        <v>0</v>
      </c>
      <c r="J29" s="9">
        <f t="shared" si="5"/>
        <v>0</v>
      </c>
    </row>
    <row r="30" spans="1:12">
      <c r="B30" s="1" t="s">
        <v>40</v>
      </c>
      <c r="C30" s="9">
        <f>C4+C5+C20+C22</f>
        <v>155688.16</v>
      </c>
      <c r="D30" s="9">
        <f t="shared" ref="D30:J30" si="6">D4+D5+D20+D22</f>
        <v>2416344.75</v>
      </c>
      <c r="E30" s="9">
        <f t="shared" si="6"/>
        <v>198278.09</v>
      </c>
      <c r="F30" s="9">
        <f t="shared" si="6"/>
        <v>2540716.2299999995</v>
      </c>
      <c r="G30" s="9">
        <f t="shared" si="6"/>
        <v>42589.93</v>
      </c>
      <c r="H30" s="9">
        <f t="shared" si="6"/>
        <v>124371.47999999981</v>
      </c>
      <c r="I30" s="9">
        <f t="shared" si="6"/>
        <v>0</v>
      </c>
      <c r="J30" s="9">
        <f t="shared" si="6"/>
        <v>0</v>
      </c>
    </row>
    <row r="33" spans="3:7">
      <c r="C33">
        <f>508075.18+93459.29</f>
        <v>601534.47</v>
      </c>
      <c r="E33">
        <f>597733.14+83133.6</f>
        <v>680866.74</v>
      </c>
    </row>
    <row r="35" spans="3:7">
      <c r="D35" s="25"/>
      <c r="E35" s="11"/>
      <c r="F35" s="11"/>
      <c r="G35" s="25"/>
    </row>
    <row r="36" spans="3:7">
      <c r="E36" s="25">
        <f>E23-E33</f>
        <v>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декабрь18</vt:lpstr>
      <vt:lpstr>Январь19</vt:lpstr>
      <vt:lpstr>Лист14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NB</cp:lastModifiedBy>
  <cp:lastPrinted>2017-09-27T08:36:16Z</cp:lastPrinted>
  <dcterms:created xsi:type="dcterms:W3CDTF">1996-10-08T23:32:33Z</dcterms:created>
  <dcterms:modified xsi:type="dcterms:W3CDTF">2019-02-18T20:20:52Z</dcterms:modified>
</cp:coreProperties>
</file>