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tabRatio="767" firstSheet="1" activeTab="11"/>
  </bookViews>
  <sheets>
    <sheet name="Январь" sheetId="2" r:id="rId1"/>
    <sheet name="февраль" sheetId="3" r:id="rId2"/>
    <sheet name="март" sheetId="4" r:id="rId3"/>
    <sheet name="апрель" sheetId="5" r:id="rId4"/>
    <sheet name="май" sheetId="6" r:id="rId5"/>
    <sheet name="июнь" sheetId="7" r:id="rId6"/>
    <sheet name="июль" sheetId="8" r:id="rId7"/>
    <sheet name="август" sheetId="9" r:id="rId8"/>
    <sheet name="сентябрь" sheetId="11" r:id="rId9"/>
    <sheet name="октябрь" sheetId="10" r:id="rId10"/>
    <sheet name="ноябрь" sheetId="12" r:id="rId11"/>
    <sheet name="декабрь18" sheetId="13" r:id="rId12"/>
    <sheet name="Январь19" sheetId="15" r:id="rId13"/>
    <sheet name="Лист14" sheetId="14" r:id="rId14"/>
  </sheets>
  <calcPr calcId="125725" refMode="R1C1"/>
</workbook>
</file>

<file path=xl/calcChain.xml><?xml version="1.0" encoding="utf-8"?>
<calcChain xmlns="http://schemas.openxmlformats.org/spreadsheetml/2006/main">
  <c r="E32" i="13"/>
  <c r="C32"/>
  <c r="E20"/>
  <c r="C20"/>
  <c r="E21"/>
  <c r="C21"/>
  <c r="E17"/>
  <c r="C17"/>
  <c r="E16"/>
  <c r="C16"/>
  <c r="E15"/>
  <c r="C15"/>
  <c r="E14"/>
  <c r="C14"/>
  <c r="E13"/>
  <c r="C13"/>
  <c r="E10"/>
  <c r="C10"/>
  <c r="E9"/>
  <c r="C9"/>
  <c r="E8"/>
  <c r="C8"/>
  <c r="E7"/>
  <c r="C7"/>
  <c r="E6"/>
  <c r="C6"/>
  <c r="E5"/>
  <c r="C5"/>
  <c r="E4"/>
  <c r="C4"/>
  <c r="E3"/>
  <c r="C3"/>
  <c r="I32" i="15"/>
  <c r="E32"/>
  <c r="C32"/>
  <c r="I31"/>
  <c r="E31"/>
  <c r="C31"/>
  <c r="I30"/>
  <c r="E30"/>
  <c r="C30"/>
  <c r="E28"/>
  <c r="C28"/>
  <c r="K23"/>
  <c r="I23"/>
  <c r="E23"/>
  <c r="C23"/>
  <c r="G22"/>
  <c r="B22"/>
  <c r="G21"/>
  <c r="B21"/>
  <c r="G20"/>
  <c r="B20"/>
  <c r="G19"/>
  <c r="B19"/>
  <c r="G18"/>
  <c r="B18"/>
  <c r="G17"/>
  <c r="B17"/>
  <c r="G16"/>
  <c r="G31" s="1"/>
  <c r="B16"/>
  <c r="G15"/>
  <c r="B15"/>
  <c r="G14"/>
  <c r="B14"/>
  <c r="G13"/>
  <c r="B13"/>
  <c r="G12"/>
  <c r="B12"/>
  <c r="G11"/>
  <c r="B11"/>
  <c r="G10"/>
  <c r="G30" s="1"/>
  <c r="B10"/>
  <c r="G9"/>
  <c r="B9"/>
  <c r="G8"/>
  <c r="B8"/>
  <c r="G7"/>
  <c r="B7"/>
  <c r="G6"/>
  <c r="B6"/>
  <c r="G5"/>
  <c r="B5"/>
  <c r="G4"/>
  <c r="B4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G3"/>
  <c r="G28" s="1"/>
  <c r="B3"/>
  <c r="C21" i="12"/>
  <c r="E33"/>
  <c r="C33"/>
  <c r="E20"/>
  <c r="C20"/>
  <c r="E21"/>
  <c r="E16"/>
  <c r="C16"/>
  <c r="E17"/>
  <c r="C17"/>
  <c r="E15"/>
  <c r="C15"/>
  <c r="E14"/>
  <c r="C14"/>
  <c r="E13"/>
  <c r="C13"/>
  <c r="E10"/>
  <c r="C10"/>
  <c r="E9"/>
  <c r="C9"/>
  <c r="E8"/>
  <c r="C8"/>
  <c r="E7"/>
  <c r="C7"/>
  <c r="E6"/>
  <c r="C6"/>
  <c r="E5"/>
  <c r="C5"/>
  <c r="E4"/>
  <c r="C4"/>
  <c r="E3"/>
  <c r="C3"/>
  <c r="C6" i="10"/>
  <c r="E33"/>
  <c r="C33"/>
  <c r="E20"/>
  <c r="C20"/>
  <c r="E21"/>
  <c r="C21"/>
  <c r="E16"/>
  <c r="C16"/>
  <c r="E17"/>
  <c r="C17"/>
  <c r="E15"/>
  <c r="C15"/>
  <c r="E14"/>
  <c r="C14"/>
  <c r="E13"/>
  <c r="C13"/>
  <c r="E10"/>
  <c r="C10"/>
  <c r="E9"/>
  <c r="C9"/>
  <c r="E8"/>
  <c r="C8"/>
  <c r="E7"/>
  <c r="C7"/>
  <c r="E6"/>
  <c r="E5"/>
  <c r="C5"/>
  <c r="E4"/>
  <c r="D4"/>
  <c r="C4"/>
  <c r="E3"/>
  <c r="C3"/>
  <c r="E5" i="11"/>
  <c r="E11"/>
  <c r="E12"/>
  <c r="E16"/>
  <c r="C16"/>
  <c r="E33"/>
  <c r="C33"/>
  <c r="E20"/>
  <c r="C20"/>
  <c r="E21"/>
  <c r="C21"/>
  <c r="E17"/>
  <c r="C17"/>
  <c r="E15"/>
  <c r="C15"/>
  <c r="E14"/>
  <c r="C14"/>
  <c r="E13"/>
  <c r="C13"/>
  <c r="E10"/>
  <c r="C10"/>
  <c r="E9"/>
  <c r="C9"/>
  <c r="E8"/>
  <c r="C8"/>
  <c r="E7"/>
  <c r="C7"/>
  <c r="E6"/>
  <c r="C6"/>
  <c r="C5"/>
  <c r="E4"/>
  <c r="C4"/>
  <c r="E3"/>
  <c r="C3"/>
  <c r="E33" i="9"/>
  <c r="C33"/>
  <c r="E20"/>
  <c r="C20"/>
  <c r="E21"/>
  <c r="C21"/>
  <c r="E17"/>
  <c r="C17"/>
  <c r="E16"/>
  <c r="C16"/>
  <c r="E15"/>
  <c r="C15"/>
  <c r="E14"/>
  <c r="C14"/>
  <c r="E13"/>
  <c r="C13"/>
  <c r="E10"/>
  <c r="C10"/>
  <c r="E9"/>
  <c r="C9"/>
  <c r="E8"/>
  <c r="C8"/>
  <c r="E7"/>
  <c r="C7"/>
  <c r="E6"/>
  <c r="C6"/>
  <c r="E5"/>
  <c r="C5"/>
  <c r="E4"/>
  <c r="C4"/>
  <c r="E3"/>
  <c r="C3"/>
  <c r="E33" i="8"/>
  <c r="C33"/>
  <c r="E20"/>
  <c r="C20"/>
  <c r="E21"/>
  <c r="C21"/>
  <c r="E17"/>
  <c r="C17"/>
  <c r="E16"/>
  <c r="C16"/>
  <c r="E15"/>
  <c r="C15"/>
  <c r="E14"/>
  <c r="C14"/>
  <c r="E13"/>
  <c r="C13"/>
  <c r="E10"/>
  <c r="C10"/>
  <c r="E9"/>
  <c r="C9"/>
  <c r="E8"/>
  <c r="C8"/>
  <c r="E7"/>
  <c r="C7"/>
  <c r="E6"/>
  <c r="C6"/>
  <c r="E5"/>
  <c r="C5"/>
  <c r="E4"/>
  <c r="E3"/>
  <c r="C3"/>
  <c r="E13" i="7"/>
  <c r="E33"/>
  <c r="C33"/>
  <c r="E20"/>
  <c r="C20"/>
  <c r="E21"/>
  <c r="C21"/>
  <c r="E17"/>
  <c r="C17"/>
  <c r="E16"/>
  <c r="C16"/>
  <c r="E15"/>
  <c r="C15"/>
  <c r="E14"/>
  <c r="C14"/>
  <c r="C13"/>
  <c r="E12"/>
  <c r="E11"/>
  <c r="E10"/>
  <c r="C10"/>
  <c r="E9"/>
  <c r="C9"/>
  <c r="E8"/>
  <c r="C8"/>
  <c r="E7"/>
  <c r="C7"/>
  <c r="E6"/>
  <c r="C6"/>
  <c r="E5"/>
  <c r="C5"/>
  <c r="E4"/>
  <c r="C4"/>
  <c r="E3"/>
  <c r="C3"/>
  <c r="E10" i="6"/>
  <c r="E33"/>
  <c r="C33"/>
  <c r="J29"/>
  <c r="I29"/>
  <c r="H29"/>
  <c r="G29"/>
  <c r="F29"/>
  <c r="E29"/>
  <c r="D29"/>
  <c r="C29"/>
  <c r="E20"/>
  <c r="C20"/>
  <c r="E21"/>
  <c r="C21"/>
  <c r="E17"/>
  <c r="C17"/>
  <c r="E16"/>
  <c r="C16"/>
  <c r="F16"/>
  <c r="D16"/>
  <c r="B16"/>
  <c r="E15"/>
  <c r="C15"/>
  <c r="E14"/>
  <c r="C14"/>
  <c r="E13"/>
  <c r="C13"/>
  <c r="C10"/>
  <c r="E9"/>
  <c r="C9"/>
  <c r="E8"/>
  <c r="C8"/>
  <c r="C7"/>
  <c r="E7"/>
  <c r="E6"/>
  <c r="C6"/>
  <c r="E5"/>
  <c r="C5"/>
  <c r="E4"/>
  <c r="C4"/>
  <c r="E3"/>
  <c r="C3"/>
  <c r="H27" i="5"/>
  <c r="G27"/>
  <c r="F27"/>
  <c r="E27"/>
  <c r="D27"/>
  <c r="C27"/>
  <c r="C7"/>
  <c r="C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4"/>
  <c r="E34"/>
  <c r="C34"/>
  <c r="E21"/>
  <c r="C21"/>
  <c r="E22"/>
  <c r="C22"/>
  <c r="E18"/>
  <c r="C18"/>
  <c r="E17"/>
  <c r="C17"/>
  <c r="E16"/>
  <c r="C16"/>
  <c r="E15"/>
  <c r="C15"/>
  <c r="E14"/>
  <c r="C14"/>
  <c r="E11"/>
  <c r="C11"/>
  <c r="E10"/>
  <c r="C10"/>
  <c r="E9"/>
  <c r="C9"/>
  <c r="E8"/>
  <c r="C8"/>
  <c r="E7"/>
  <c r="E6"/>
  <c r="C6"/>
  <c r="E5"/>
  <c r="C5"/>
  <c r="E4"/>
  <c r="G32" i="15" l="1"/>
  <c r="G23"/>
  <c r="G16" i="6"/>
  <c r="C26"/>
  <c r="E26"/>
  <c r="E33" i="4"/>
  <c r="C33"/>
  <c r="C7"/>
  <c r="E20"/>
  <c r="E17"/>
  <c r="E16"/>
  <c r="C16"/>
  <c r="E21"/>
  <c r="C21"/>
  <c r="C20"/>
  <c r="C17"/>
  <c r="E15"/>
  <c r="C15"/>
  <c r="E14"/>
  <c r="C14"/>
  <c r="E13"/>
  <c r="C13"/>
  <c r="E10"/>
  <c r="C10"/>
  <c r="E9"/>
  <c r="C9"/>
  <c r="E8"/>
  <c r="C8"/>
  <c r="E7"/>
  <c r="E6"/>
  <c r="C6"/>
  <c r="E5"/>
  <c r="C5"/>
  <c r="E4"/>
  <c r="C4"/>
  <c r="E3"/>
  <c r="C3"/>
  <c r="E32" i="3"/>
  <c r="E17"/>
  <c r="C16"/>
  <c r="C32"/>
  <c r="E21"/>
  <c r="C21"/>
  <c r="E20"/>
  <c r="C20"/>
  <c r="C17"/>
  <c r="E16"/>
  <c r="E15"/>
  <c r="C15"/>
  <c r="E14"/>
  <c r="C14"/>
  <c r="E13"/>
  <c r="C13"/>
  <c r="E10"/>
  <c r="C10"/>
  <c r="E9"/>
  <c r="C9"/>
  <c r="E8"/>
  <c r="C8"/>
  <c r="E7"/>
  <c r="C7"/>
  <c r="E6"/>
  <c r="C6"/>
  <c r="E5"/>
  <c r="C5"/>
  <c r="E4"/>
  <c r="C4"/>
  <c r="E3"/>
  <c r="C3"/>
  <c r="E16" i="2"/>
  <c r="C16"/>
  <c r="E32"/>
  <c r="C32"/>
  <c r="E21"/>
  <c r="C21"/>
  <c r="E20"/>
  <c r="C20"/>
  <c r="E17"/>
  <c r="C17"/>
  <c r="E15"/>
  <c r="C15"/>
  <c r="E14"/>
  <c r="C14"/>
  <c r="E13"/>
  <c r="C13"/>
  <c r="E10"/>
  <c r="C10"/>
  <c r="E9"/>
  <c r="C9"/>
  <c r="E8"/>
  <c r="C8"/>
  <c r="E7"/>
  <c r="C7"/>
  <c r="E6"/>
  <c r="C6"/>
  <c r="E5"/>
  <c r="C5"/>
  <c r="E4"/>
  <c r="C4"/>
  <c r="E3"/>
  <c r="C3"/>
  <c r="E25" i="13" l="1"/>
  <c r="C25"/>
  <c r="E27" l="1"/>
  <c r="I27"/>
  <c r="C27"/>
  <c r="I30" i="12"/>
  <c r="E30"/>
  <c r="C30"/>
  <c r="I29"/>
  <c r="E29"/>
  <c r="C29"/>
  <c r="I28"/>
  <c r="E28"/>
  <c r="C28"/>
  <c r="I30" i="10"/>
  <c r="E30"/>
  <c r="C30"/>
  <c r="I29"/>
  <c r="E29"/>
  <c r="C29"/>
  <c r="I28"/>
  <c r="E28"/>
  <c r="C28"/>
  <c r="E28" i="11"/>
  <c r="I28"/>
  <c r="C28"/>
  <c r="E28" i="9"/>
  <c r="I28"/>
  <c r="C28"/>
  <c r="E28" i="8"/>
  <c r="I28"/>
  <c r="C28"/>
  <c r="E28" i="7"/>
  <c r="I28"/>
  <c r="C28"/>
  <c r="E28" i="6"/>
  <c r="I28"/>
  <c r="C28"/>
  <c r="E29" i="5"/>
  <c r="I29"/>
  <c r="C29"/>
  <c r="E28" i="4"/>
  <c r="I28"/>
  <c r="C28"/>
  <c r="E28" i="3"/>
  <c r="I28"/>
  <c r="C28"/>
  <c r="E28" i="2"/>
  <c r="I28"/>
  <c r="C28"/>
  <c r="I30" i="11"/>
  <c r="E30"/>
  <c r="C30"/>
  <c r="I29"/>
  <c r="E29"/>
  <c r="C29"/>
  <c r="I30" i="9"/>
  <c r="E30"/>
  <c r="C30"/>
  <c r="I29"/>
  <c r="E29"/>
  <c r="C29"/>
  <c r="I30" i="8"/>
  <c r="E30"/>
  <c r="C30"/>
  <c r="I29"/>
  <c r="E29"/>
  <c r="C29"/>
  <c r="I30" i="7"/>
  <c r="E30"/>
  <c r="C30"/>
  <c r="I29"/>
  <c r="E29"/>
  <c r="C29"/>
  <c r="I30" i="6"/>
  <c r="E30"/>
  <c r="C30"/>
  <c r="I31" i="5"/>
  <c r="E31"/>
  <c r="C31"/>
  <c r="I30"/>
  <c r="E30"/>
  <c r="C30"/>
  <c r="I30" i="4" l="1"/>
  <c r="E30"/>
  <c r="C30"/>
  <c r="I29"/>
  <c r="E29"/>
  <c r="C29"/>
  <c r="I30" i="3"/>
  <c r="E30"/>
  <c r="C30"/>
  <c r="I29"/>
  <c r="E29"/>
  <c r="C29"/>
  <c r="E30" i="2"/>
  <c r="I30"/>
  <c r="C30"/>
  <c r="E29"/>
  <c r="I29"/>
  <c r="C29"/>
  <c r="C29" i="13" l="1"/>
  <c r="C28"/>
  <c r="I29"/>
  <c r="E29"/>
  <c r="I28"/>
  <c r="E28"/>
  <c r="E26" i="11" l="1"/>
  <c r="C26"/>
  <c r="E26" i="7"/>
  <c r="C26"/>
  <c r="E24" i="5"/>
  <c r="C24"/>
  <c r="C36" s="1"/>
  <c r="C26" i="4"/>
  <c r="E26"/>
  <c r="J10" i="2"/>
  <c r="J10" i="3"/>
  <c r="J10" i="4" s="1"/>
  <c r="J11" i="5" s="1"/>
  <c r="J10" i="6" s="1"/>
  <c r="J10" i="7" s="1"/>
  <c r="J10" i="8" s="1"/>
  <c r="J10" i="9" s="1"/>
  <c r="J10" i="11" s="1"/>
  <c r="J10" i="10" s="1"/>
  <c r="J10" i="12" s="1"/>
  <c r="J10" i="13" s="1"/>
  <c r="J10" i="15" s="1"/>
  <c r="B4" i="3"/>
  <c r="B4" i="4" s="1"/>
  <c r="B5" i="5" s="1"/>
  <c r="B4" i="6" s="1"/>
  <c r="B4" i="7" s="1"/>
  <c r="B4" i="8" s="1"/>
  <c r="B4" i="9" s="1"/>
  <c r="B4" i="11" s="1"/>
  <c r="B4" i="10" s="1"/>
  <c r="B4" i="12" s="1"/>
  <c r="B4" i="13" s="1"/>
  <c r="B5" i="3"/>
  <c r="B5" i="4"/>
  <c r="B6" i="5" s="1"/>
  <c r="B5" i="6" s="1"/>
  <c r="B5" i="7" s="1"/>
  <c r="B5" i="8" s="1"/>
  <c r="B5" i="9" s="1"/>
  <c r="B5" i="11" s="1"/>
  <c r="B5" i="10" s="1"/>
  <c r="B5" i="12" s="1"/>
  <c r="B5" i="13" s="1"/>
  <c r="B6" i="3"/>
  <c r="B6" i="4" s="1"/>
  <c r="B7" i="5" s="1"/>
  <c r="B6" i="6" s="1"/>
  <c r="B6" i="7" s="1"/>
  <c r="B6" i="8" s="1"/>
  <c r="B6" i="9" s="1"/>
  <c r="B6" i="11" s="1"/>
  <c r="B6" i="10" s="1"/>
  <c r="B6" i="12" s="1"/>
  <c r="B6" i="13" s="1"/>
  <c r="B7" i="3"/>
  <c r="B7" i="4"/>
  <c r="B8" i="5" s="1"/>
  <c r="B7" i="6" s="1"/>
  <c r="B7" i="7" s="1"/>
  <c r="B7" i="8" s="1"/>
  <c r="B7" i="9" s="1"/>
  <c r="B7" i="11" s="1"/>
  <c r="B7" i="10" s="1"/>
  <c r="B7" i="12" s="1"/>
  <c r="B7" i="13" s="1"/>
  <c r="B8" i="3"/>
  <c r="B8" i="4" s="1"/>
  <c r="B9" i="5" s="1"/>
  <c r="B8" i="6" s="1"/>
  <c r="B8" i="7" s="1"/>
  <c r="B8" i="8" s="1"/>
  <c r="B8" i="9" s="1"/>
  <c r="B8" i="11" s="1"/>
  <c r="B8" i="10" s="1"/>
  <c r="B8" i="12" s="1"/>
  <c r="B8" i="13" s="1"/>
  <c r="B9" i="3"/>
  <c r="B9" i="4"/>
  <c r="B10" i="5" s="1"/>
  <c r="B9" i="6" s="1"/>
  <c r="B9" i="7" s="1"/>
  <c r="B9" i="8" s="1"/>
  <c r="B9" i="9" s="1"/>
  <c r="B9" i="11" s="1"/>
  <c r="B9" i="10" s="1"/>
  <c r="B9" i="12" s="1"/>
  <c r="B9" i="13" s="1"/>
  <c r="B10" i="3"/>
  <c r="B10" i="4" s="1"/>
  <c r="B11" i="5" s="1"/>
  <c r="B10" i="6" s="1"/>
  <c r="B10" i="7" s="1"/>
  <c r="B10" i="8" s="1"/>
  <c r="B10" i="9" s="1"/>
  <c r="B10" i="11" s="1"/>
  <c r="B10" i="10" s="1"/>
  <c r="B10" i="12" s="1"/>
  <c r="B10" i="13" s="1"/>
  <c r="B11" i="3"/>
  <c r="B11" i="4"/>
  <c r="B12" i="5" s="1"/>
  <c r="B11" i="6" s="1"/>
  <c r="B11" i="7" s="1"/>
  <c r="B11" i="8" s="1"/>
  <c r="B11" i="9" s="1"/>
  <c r="B11" i="11" s="1"/>
  <c r="B11" i="10" s="1"/>
  <c r="B11" i="12" s="1"/>
  <c r="B11" i="13" s="1"/>
  <c r="B12" i="3"/>
  <c r="B12" i="4" s="1"/>
  <c r="B13" i="5"/>
  <c r="B12" i="6" s="1"/>
  <c r="B12" i="7" s="1"/>
  <c r="B12" i="8" s="1"/>
  <c r="B12" i="9" s="1"/>
  <c r="B12" i="11" s="1"/>
  <c r="B12" i="10" s="1"/>
  <c r="B12" i="12" s="1"/>
  <c r="B12" i="13" s="1"/>
  <c r="B13" i="3"/>
  <c r="B13" i="4"/>
  <c r="B14" i="5" s="1"/>
  <c r="B13" i="6" s="1"/>
  <c r="B13" i="7" s="1"/>
  <c r="B13" i="8" s="1"/>
  <c r="B13" i="9" s="1"/>
  <c r="B13" i="11" s="1"/>
  <c r="B13" i="10" s="1"/>
  <c r="B13" i="12" s="1"/>
  <c r="B13" i="13" s="1"/>
  <c r="B14" i="3"/>
  <c r="B14" i="4"/>
  <c r="B15" i="5" s="1"/>
  <c r="B14" i="6" s="1"/>
  <c r="B14" i="7" s="1"/>
  <c r="B14" i="8" s="1"/>
  <c r="B14" i="9" s="1"/>
  <c r="B14" i="11" s="1"/>
  <c r="B14" i="10" s="1"/>
  <c r="B14" i="12" s="1"/>
  <c r="B14" i="13" s="1"/>
  <c r="B15" i="3"/>
  <c r="B15" i="4" s="1"/>
  <c r="B16" i="5"/>
  <c r="B15" i="6" s="1"/>
  <c r="B15" i="7" s="1"/>
  <c r="B15" i="8" s="1"/>
  <c r="B15" i="9" s="1"/>
  <c r="B15" i="11" s="1"/>
  <c r="B15" i="10" s="1"/>
  <c r="B15" i="12" s="1"/>
  <c r="B15" i="13" s="1"/>
  <c r="B16" i="3"/>
  <c r="B16" i="4"/>
  <c r="B17" i="5" s="1"/>
  <c r="B16" i="7" s="1"/>
  <c r="B16" i="8" s="1"/>
  <c r="B16" i="9" s="1"/>
  <c r="B16" i="11" s="1"/>
  <c r="B16" i="10" s="1"/>
  <c r="B16" i="12" s="1"/>
  <c r="B16" i="13" s="1"/>
  <c r="B17" i="3"/>
  <c r="B17" i="4" s="1"/>
  <c r="B18" i="5"/>
  <c r="B17" i="6" s="1"/>
  <c r="B17" i="7" s="1"/>
  <c r="B17" i="8" s="1"/>
  <c r="B17" i="9" s="1"/>
  <c r="B17" i="11" s="1"/>
  <c r="B17" i="10" s="1"/>
  <c r="B17" i="12" s="1"/>
  <c r="B17" i="13" s="1"/>
  <c r="B18" i="3"/>
  <c r="B18" i="4"/>
  <c r="B19" i="5" s="1"/>
  <c r="B18" i="6" s="1"/>
  <c r="B18" i="7" s="1"/>
  <c r="B18" i="8" s="1"/>
  <c r="B18" i="9" s="1"/>
  <c r="B18" i="11" s="1"/>
  <c r="B18" i="10" s="1"/>
  <c r="B18" i="12" s="1"/>
  <c r="B18" i="13" s="1"/>
  <c r="B19" i="3"/>
  <c r="B19" i="4" s="1"/>
  <c r="B20" i="5"/>
  <c r="B19" i="6" s="1"/>
  <c r="B19" i="7" s="1"/>
  <c r="B19" i="8" s="1"/>
  <c r="B19" i="9" s="1"/>
  <c r="B19" i="11" s="1"/>
  <c r="B19" i="10" s="1"/>
  <c r="B19" i="12" s="1"/>
  <c r="B19" i="13" s="1"/>
  <c r="B20" i="3"/>
  <c r="B20" i="4"/>
  <c r="B21" i="5" s="1"/>
  <c r="B20" i="6" s="1"/>
  <c r="B20" i="7" s="1"/>
  <c r="B20" i="8" s="1"/>
  <c r="B20" i="9" s="1"/>
  <c r="B20" i="11" s="1"/>
  <c r="B20" i="10" s="1"/>
  <c r="B20" i="12" s="1"/>
  <c r="B20" i="13" s="1"/>
  <c r="B21" i="3"/>
  <c r="B21" i="4" s="1"/>
  <c r="B22" i="5"/>
  <c r="B21" i="6" s="1"/>
  <c r="B21" i="7" s="1"/>
  <c r="B21" i="8" s="1"/>
  <c r="B21" i="9" s="1"/>
  <c r="B21" i="11" s="1"/>
  <c r="B21" i="10" s="1"/>
  <c r="B21" i="12" s="1"/>
  <c r="B21" i="13" s="1"/>
  <c r="B22" i="3"/>
  <c r="B22" i="4"/>
  <c r="B23" i="5" s="1"/>
  <c r="B22" i="6" s="1"/>
  <c r="B22" i="7" s="1"/>
  <c r="B22" i="8" s="1"/>
  <c r="B22" i="9" s="1"/>
  <c r="B22" i="11" s="1"/>
  <c r="B22" i="10" s="1"/>
  <c r="B22" i="12" s="1"/>
  <c r="B22" i="13" s="1"/>
  <c r="B3" i="3"/>
  <c r="B3" i="4" s="1"/>
  <c r="B4" i="5"/>
  <c r="B3" i="6" s="1"/>
  <c r="B3" i="7" s="1"/>
  <c r="B3" i="8" s="1"/>
  <c r="B3" i="9" s="1"/>
  <c r="B3" i="11" s="1"/>
  <c r="B3" i="10" s="1"/>
  <c r="B3" i="12" s="1"/>
  <c r="B3" i="13" s="1"/>
  <c r="F4" i="2"/>
  <c r="F4" i="3"/>
  <c r="F4" i="4" s="1"/>
  <c r="F5" i="5" s="1"/>
  <c r="F5" i="2"/>
  <c r="F5" i="3"/>
  <c r="F5" i="4" s="1"/>
  <c r="F6" i="5" s="1"/>
  <c r="F5" i="6" s="1"/>
  <c r="D5" i="2"/>
  <c r="D5" i="3"/>
  <c r="D5" i="4" s="1"/>
  <c r="F6" i="2"/>
  <c r="F6" i="3"/>
  <c r="F6" i="4" s="1"/>
  <c r="F7" i="5"/>
  <c r="F6" i="6" s="1"/>
  <c r="F7" i="2"/>
  <c r="F7" i="3"/>
  <c r="F7" i="4" s="1"/>
  <c r="F8" i="5" s="1"/>
  <c r="F8" i="2"/>
  <c r="F8" i="3"/>
  <c r="F8" i="4" s="1"/>
  <c r="F9" i="5" s="1"/>
  <c r="F9" i="2"/>
  <c r="F9" i="3"/>
  <c r="F9" i="4" s="1"/>
  <c r="F10" i="5" s="1"/>
  <c r="F10" i="2"/>
  <c r="F10" i="3"/>
  <c r="F10" i="4" s="1"/>
  <c r="F11" i="5"/>
  <c r="F11" i="2"/>
  <c r="F11" i="3"/>
  <c r="F11" i="4" s="1"/>
  <c r="F12" i="5" s="1"/>
  <c r="F12" i="2"/>
  <c r="F12" i="3"/>
  <c r="F12" i="4" s="1"/>
  <c r="F13" i="5" s="1"/>
  <c r="F13" i="2"/>
  <c r="F13" i="3"/>
  <c r="F13" i="4" s="1"/>
  <c r="F14" i="5" s="1"/>
  <c r="F14" i="2"/>
  <c r="F14" i="3"/>
  <c r="F14" i="4" s="1"/>
  <c r="F15" i="5"/>
  <c r="F15" i="2"/>
  <c r="F15" i="3"/>
  <c r="F15" i="4" s="1"/>
  <c r="F16" i="5" s="1"/>
  <c r="F16" i="2"/>
  <c r="F29" s="1"/>
  <c r="F16" i="3"/>
  <c r="F17" i="2"/>
  <c r="F17" i="3"/>
  <c r="F17" i="4" s="1"/>
  <c r="F18" i="5" s="1"/>
  <c r="F18" i="2"/>
  <c r="F18" i="3"/>
  <c r="F18" i="4" s="1"/>
  <c r="F19" i="5" s="1"/>
  <c r="F19" i="2"/>
  <c r="F19" i="3"/>
  <c r="F19" i="4" s="1"/>
  <c r="F20" i="5" s="1"/>
  <c r="F20" i="2"/>
  <c r="F20" i="3"/>
  <c r="F20" i="4" s="1"/>
  <c r="F21" i="5"/>
  <c r="D4" i="2"/>
  <c r="D4" i="3"/>
  <c r="D4" i="4" s="1"/>
  <c r="D5" i="6"/>
  <c r="D6" i="2"/>
  <c r="D6" i="3"/>
  <c r="D6" i="4" s="1"/>
  <c r="D7" i="2"/>
  <c r="D7" i="3"/>
  <c r="D7" i="4"/>
  <c r="D7" i="6"/>
  <c r="D8" i="2"/>
  <c r="D8" i="3"/>
  <c r="D8" i="4"/>
  <c r="D9" i="2"/>
  <c r="D9" i="3"/>
  <c r="D9" i="4" s="1"/>
  <c r="D9" i="6"/>
  <c r="D10" i="2"/>
  <c r="D10" i="3"/>
  <c r="D10" i="4" s="1"/>
  <c r="D11" i="2"/>
  <c r="D11" i="3"/>
  <c r="D11" i="4"/>
  <c r="D11" i="6"/>
  <c r="D12" i="2"/>
  <c r="D12" i="3"/>
  <c r="D12" i="4"/>
  <c r="D13" i="2"/>
  <c r="D13" i="3"/>
  <c r="D13" i="4" s="1"/>
  <c r="D13" i="6"/>
  <c r="D14" i="2"/>
  <c r="D14" i="3"/>
  <c r="D14" i="4" s="1"/>
  <c r="D15" i="2"/>
  <c r="D15" i="3"/>
  <c r="D15" i="4"/>
  <c r="D15" i="6"/>
  <c r="D16" i="2"/>
  <c r="D29" s="1"/>
  <c r="D16" i="3"/>
  <c r="D29" s="1"/>
  <c r="D16" i="4"/>
  <c r="D29" s="1"/>
  <c r="D30" i="5"/>
  <c r="D17" i="2"/>
  <c r="D17" i="3"/>
  <c r="D17" i="4"/>
  <c r="D17" i="6"/>
  <c r="D18" i="2"/>
  <c r="D18" i="4"/>
  <c r="D19" i="2"/>
  <c r="D19" i="3"/>
  <c r="D19" i="4"/>
  <c r="D19" i="6"/>
  <c r="D20" i="2"/>
  <c r="D20" i="3"/>
  <c r="D20" i="4"/>
  <c r="L4" i="2"/>
  <c r="L5"/>
  <c r="L6"/>
  <c r="L7"/>
  <c r="L8"/>
  <c r="L9"/>
  <c r="L10"/>
  <c r="L11"/>
  <c r="L12"/>
  <c r="L13"/>
  <c r="L14"/>
  <c r="L15"/>
  <c r="L16"/>
  <c r="L17"/>
  <c r="L18"/>
  <c r="L19"/>
  <c r="L20"/>
  <c r="L21"/>
  <c r="L22"/>
  <c r="L3"/>
  <c r="J4"/>
  <c r="J5"/>
  <c r="J5" i="3"/>
  <c r="J5" i="4"/>
  <c r="J6" i="5" s="1"/>
  <c r="J5" i="6" s="1"/>
  <c r="J6" i="2"/>
  <c r="J7"/>
  <c r="J7" i="3"/>
  <c r="J7" i="4" s="1"/>
  <c r="J8" i="5"/>
  <c r="J7" i="6" s="1"/>
  <c r="J7" i="7" s="1"/>
  <c r="J7" i="8" s="1"/>
  <c r="J7" i="9" s="1"/>
  <c r="J7" i="11" s="1"/>
  <c r="J7" i="10" s="1"/>
  <c r="J7" i="12" s="1"/>
  <c r="J7" i="13" s="1"/>
  <c r="J7" i="15" s="1"/>
  <c r="J8" i="2"/>
  <c r="J9"/>
  <c r="J9" i="3"/>
  <c r="J9" i="4"/>
  <c r="J10" i="5" s="1"/>
  <c r="J9" i="6" s="1"/>
  <c r="J9" i="7" s="1"/>
  <c r="J9" i="8" s="1"/>
  <c r="J9" i="9" s="1"/>
  <c r="J9" i="11" s="1"/>
  <c r="J9" i="10" s="1"/>
  <c r="J9" i="12" s="1"/>
  <c r="J9" i="13" s="1"/>
  <c r="J9" i="15" s="1"/>
  <c r="J11" i="2"/>
  <c r="J11" i="3"/>
  <c r="J11" i="4"/>
  <c r="J12" i="5" s="1"/>
  <c r="J11" i="6"/>
  <c r="J11" i="7" s="1"/>
  <c r="J11" i="8" s="1"/>
  <c r="J11" i="9" s="1"/>
  <c r="J11" i="11" s="1"/>
  <c r="J11" i="10" s="1"/>
  <c r="J11" i="12" s="1"/>
  <c r="J11" i="13" s="1"/>
  <c r="J11" i="15" s="1"/>
  <c r="J12" i="2"/>
  <c r="J13"/>
  <c r="J13" i="3"/>
  <c r="J13" i="4" s="1"/>
  <c r="J14" i="5" s="1"/>
  <c r="J13" i="6" s="1"/>
  <c r="J13" i="7" s="1"/>
  <c r="J13" i="8" s="1"/>
  <c r="J13" i="9" s="1"/>
  <c r="J13" i="11" s="1"/>
  <c r="J13" i="10" s="1"/>
  <c r="J13" i="12" s="1"/>
  <c r="J13" i="13" s="1"/>
  <c r="J13" i="15" s="1"/>
  <c r="J14" i="2"/>
  <c r="J15"/>
  <c r="J15" i="3"/>
  <c r="J15" i="4"/>
  <c r="J16" i="5" s="1"/>
  <c r="J15" i="6"/>
  <c r="J15" i="7" s="1"/>
  <c r="J15" i="8" s="1"/>
  <c r="J15" i="9" s="1"/>
  <c r="J15" i="11" s="1"/>
  <c r="J15" i="10" s="1"/>
  <c r="J15" i="12" s="1"/>
  <c r="J15" i="13" s="1"/>
  <c r="J15" i="15" s="1"/>
  <c r="J16" i="2"/>
  <c r="J29" s="1"/>
  <c r="J17"/>
  <c r="J17" i="3"/>
  <c r="J17" i="4" s="1"/>
  <c r="J18" i="5" s="1"/>
  <c r="J17" i="6" s="1"/>
  <c r="J17" i="7" s="1"/>
  <c r="J17" i="8" s="1"/>
  <c r="J17" i="9" s="1"/>
  <c r="J17" i="11" s="1"/>
  <c r="J17" i="10" s="1"/>
  <c r="J17" i="12" s="1"/>
  <c r="J17" i="13" s="1"/>
  <c r="J17" i="15" s="1"/>
  <c r="J18" i="2"/>
  <c r="J19"/>
  <c r="J19" i="3"/>
  <c r="J19" i="4"/>
  <c r="J20" i="5" s="1"/>
  <c r="J19" i="6"/>
  <c r="J19" i="7" s="1"/>
  <c r="J19" i="8" s="1"/>
  <c r="J19" i="9" s="1"/>
  <c r="J19" i="11" s="1"/>
  <c r="J19" i="10" s="1"/>
  <c r="J19" i="12" s="1"/>
  <c r="J19" i="13" s="1"/>
  <c r="J19" i="15" s="1"/>
  <c r="J20" i="2"/>
  <c r="J21"/>
  <c r="J22"/>
  <c r="J3"/>
  <c r="F21"/>
  <c r="F22"/>
  <c r="F3"/>
  <c r="D21"/>
  <c r="D22"/>
  <c r="D3"/>
  <c r="G22"/>
  <c r="G6" i="12"/>
  <c r="G19"/>
  <c r="G4"/>
  <c r="G3"/>
  <c r="J4" i="3"/>
  <c r="J6"/>
  <c r="J6" i="4" s="1"/>
  <c r="J7" i="5" s="1"/>
  <c r="J8" i="3"/>
  <c r="J8" i="4"/>
  <c r="J9" i="5" s="1"/>
  <c r="J8" i="6"/>
  <c r="J8" i="7" s="1"/>
  <c r="J8" i="8" s="1"/>
  <c r="J8" i="9" s="1"/>
  <c r="J8" i="11" s="1"/>
  <c r="J8" i="10" s="1"/>
  <c r="J8" i="12" s="1"/>
  <c r="J8" i="13" s="1"/>
  <c r="J8" i="15" s="1"/>
  <c r="J12" i="3"/>
  <c r="J12" i="4" s="1"/>
  <c r="J13" i="5" s="1"/>
  <c r="J12" i="6" s="1"/>
  <c r="J12" i="7" s="1"/>
  <c r="J12" i="8" s="1"/>
  <c r="J12" i="9" s="1"/>
  <c r="J12" i="11" s="1"/>
  <c r="J12" i="10" s="1"/>
  <c r="J12" i="12" s="1"/>
  <c r="J12" i="13" s="1"/>
  <c r="J12" i="15" s="1"/>
  <c r="J14" i="3"/>
  <c r="J14" i="4"/>
  <c r="J15" i="5" s="1"/>
  <c r="J14" i="6"/>
  <c r="J14" i="7" s="1"/>
  <c r="J14" i="8" s="1"/>
  <c r="J14" i="9" s="1"/>
  <c r="J14" i="11" s="1"/>
  <c r="J14" i="10" s="1"/>
  <c r="J14" i="12" s="1"/>
  <c r="J14" i="13" s="1"/>
  <c r="J14" i="15" s="1"/>
  <c r="J16" i="3"/>
  <c r="J18"/>
  <c r="J18" i="4"/>
  <c r="J19" i="5" s="1"/>
  <c r="J18" i="6"/>
  <c r="J18" i="7" s="1"/>
  <c r="J18" i="8" s="1"/>
  <c r="J18" i="9" s="1"/>
  <c r="J18" i="11" s="1"/>
  <c r="J18" i="10" s="1"/>
  <c r="J18" i="12" s="1"/>
  <c r="J18" i="13" s="1"/>
  <c r="J18" i="15" s="1"/>
  <c r="J3" i="3"/>
  <c r="J3" i="4" s="1"/>
  <c r="F10" i="6"/>
  <c r="F10" i="7" s="1"/>
  <c r="F10" i="8" s="1"/>
  <c r="F14" i="6"/>
  <c r="F14" i="7" s="1"/>
  <c r="F14" i="8" s="1"/>
  <c r="F20" i="6"/>
  <c r="F20" i="7" s="1"/>
  <c r="F20" i="8" s="1"/>
  <c r="F3" i="3"/>
  <c r="F3" i="4" s="1"/>
  <c r="D4" i="6"/>
  <c r="D6"/>
  <c r="D6" i="7" s="1"/>
  <c r="D6" i="8" s="1"/>
  <c r="D6" i="9" s="1"/>
  <c r="D6" i="11" s="1"/>
  <c r="D6" i="10" s="1"/>
  <c r="D6" i="12" s="1"/>
  <c r="D6" i="13" s="1"/>
  <c r="D6" i="15" s="1"/>
  <c r="D8" i="6"/>
  <c r="D10"/>
  <c r="D12"/>
  <c r="D14"/>
  <c r="D18"/>
  <c r="D20"/>
  <c r="D3" i="3"/>
  <c r="F21"/>
  <c r="F21" i="4" s="1"/>
  <c r="F22" i="5"/>
  <c r="F22" i="3"/>
  <c r="F22" i="4"/>
  <c r="F23" i="5" s="1"/>
  <c r="K23" i="13"/>
  <c r="I23"/>
  <c r="G3"/>
  <c r="G4"/>
  <c r="G5"/>
  <c r="G6"/>
  <c r="G7"/>
  <c r="G8"/>
  <c r="G9"/>
  <c r="G10"/>
  <c r="G11"/>
  <c r="G12"/>
  <c r="G13"/>
  <c r="G14"/>
  <c r="G15"/>
  <c r="G16"/>
  <c r="G28" s="1"/>
  <c r="G17"/>
  <c r="G18"/>
  <c r="G19"/>
  <c r="G20"/>
  <c r="G21"/>
  <c r="G22"/>
  <c r="E23"/>
  <c r="C23"/>
  <c r="A4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K23" i="12"/>
  <c r="I23"/>
  <c r="G5"/>
  <c r="G7"/>
  <c r="G8"/>
  <c r="G9"/>
  <c r="G10"/>
  <c r="G11"/>
  <c r="G12"/>
  <c r="G14"/>
  <c r="G15"/>
  <c r="G16"/>
  <c r="G29" s="1"/>
  <c r="G17"/>
  <c r="G18"/>
  <c r="G20"/>
  <c r="G21"/>
  <c r="E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10"/>
  <c r="I23"/>
  <c r="G3"/>
  <c r="G4"/>
  <c r="G5"/>
  <c r="G6"/>
  <c r="G7"/>
  <c r="G8"/>
  <c r="G9"/>
  <c r="G10"/>
  <c r="G11"/>
  <c r="G12"/>
  <c r="G13"/>
  <c r="G14"/>
  <c r="G15"/>
  <c r="G16"/>
  <c r="G29" s="1"/>
  <c r="G17"/>
  <c r="G18"/>
  <c r="G19"/>
  <c r="G20"/>
  <c r="G21"/>
  <c r="G22"/>
  <c r="G23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11"/>
  <c r="I23"/>
  <c r="G3"/>
  <c r="G4"/>
  <c r="G5"/>
  <c r="G6"/>
  <c r="G7"/>
  <c r="G8"/>
  <c r="G9"/>
  <c r="G10"/>
  <c r="G11"/>
  <c r="G12"/>
  <c r="G13"/>
  <c r="G14"/>
  <c r="G15"/>
  <c r="G16"/>
  <c r="G29" s="1"/>
  <c r="G17"/>
  <c r="G18"/>
  <c r="G19"/>
  <c r="G20"/>
  <c r="G21"/>
  <c r="G22"/>
  <c r="E23"/>
  <c r="E35" s="1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9"/>
  <c r="I23"/>
  <c r="G3"/>
  <c r="G4"/>
  <c r="G5"/>
  <c r="G6"/>
  <c r="G7"/>
  <c r="G8"/>
  <c r="G9"/>
  <c r="G10"/>
  <c r="G11"/>
  <c r="G12"/>
  <c r="G13"/>
  <c r="G14"/>
  <c r="G15"/>
  <c r="G16"/>
  <c r="G29" s="1"/>
  <c r="G17"/>
  <c r="G18"/>
  <c r="G19"/>
  <c r="G20"/>
  <c r="G21"/>
  <c r="G22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8"/>
  <c r="I23"/>
  <c r="G3"/>
  <c r="G4"/>
  <c r="G5"/>
  <c r="G6"/>
  <c r="G7"/>
  <c r="G8"/>
  <c r="G9"/>
  <c r="G10"/>
  <c r="G11"/>
  <c r="G12"/>
  <c r="G13"/>
  <c r="G14"/>
  <c r="G15"/>
  <c r="G16"/>
  <c r="G29" s="1"/>
  <c r="G17"/>
  <c r="G18"/>
  <c r="G19"/>
  <c r="G20"/>
  <c r="G21"/>
  <c r="G22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7"/>
  <c r="I23"/>
  <c r="G3"/>
  <c r="G4"/>
  <c r="G5"/>
  <c r="G6"/>
  <c r="G7"/>
  <c r="G8"/>
  <c r="G9"/>
  <c r="G10"/>
  <c r="G11"/>
  <c r="G12"/>
  <c r="G13"/>
  <c r="G14"/>
  <c r="G15"/>
  <c r="G16"/>
  <c r="G29" s="1"/>
  <c r="G17"/>
  <c r="G18"/>
  <c r="G19"/>
  <c r="G20"/>
  <c r="G21"/>
  <c r="G22"/>
  <c r="G23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6"/>
  <c r="I23"/>
  <c r="G3"/>
  <c r="G4"/>
  <c r="G5"/>
  <c r="G6"/>
  <c r="G7"/>
  <c r="G8"/>
  <c r="G9"/>
  <c r="G10"/>
  <c r="G11"/>
  <c r="G12"/>
  <c r="G13"/>
  <c r="G14"/>
  <c r="G15"/>
  <c r="G17"/>
  <c r="G18"/>
  <c r="G19"/>
  <c r="G20"/>
  <c r="G21"/>
  <c r="G22"/>
  <c r="E23"/>
  <c r="E35" s="1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4" i="5"/>
  <c r="I24"/>
  <c r="G4"/>
  <c r="G5"/>
  <c r="G6"/>
  <c r="G7"/>
  <c r="G8"/>
  <c r="G9"/>
  <c r="G10"/>
  <c r="G11"/>
  <c r="G12"/>
  <c r="G13"/>
  <c r="G14"/>
  <c r="G15"/>
  <c r="G16"/>
  <c r="G17"/>
  <c r="G30" s="1"/>
  <c r="G18"/>
  <c r="G19"/>
  <c r="G20"/>
  <c r="G21"/>
  <c r="G22"/>
  <c r="G23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K23" i="4"/>
  <c r="I23"/>
  <c r="G3"/>
  <c r="G4"/>
  <c r="G5"/>
  <c r="G6"/>
  <c r="G7"/>
  <c r="G8"/>
  <c r="G9"/>
  <c r="G10"/>
  <c r="G11"/>
  <c r="G12"/>
  <c r="G13"/>
  <c r="G14"/>
  <c r="G15"/>
  <c r="G16"/>
  <c r="G29" s="1"/>
  <c r="G17"/>
  <c r="G18"/>
  <c r="G19"/>
  <c r="G20"/>
  <c r="G21"/>
  <c r="G22"/>
  <c r="G23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3"/>
  <c r="I23"/>
  <c r="G3"/>
  <c r="G4"/>
  <c r="G5"/>
  <c r="G6"/>
  <c r="G7"/>
  <c r="G8"/>
  <c r="G9"/>
  <c r="G10"/>
  <c r="G11"/>
  <c r="G12"/>
  <c r="G13"/>
  <c r="G14"/>
  <c r="G15"/>
  <c r="G16"/>
  <c r="G29" s="1"/>
  <c r="G17"/>
  <c r="G18"/>
  <c r="G19"/>
  <c r="G20"/>
  <c r="G21"/>
  <c r="G22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G4" i="2"/>
  <c r="H4"/>
  <c r="G5"/>
  <c r="G6"/>
  <c r="G7"/>
  <c r="H7"/>
  <c r="G8"/>
  <c r="G9"/>
  <c r="G10"/>
  <c r="G11"/>
  <c r="G12"/>
  <c r="G13"/>
  <c r="G14"/>
  <c r="G15"/>
  <c r="H15"/>
  <c r="G16"/>
  <c r="G29" s="1"/>
  <c r="G17"/>
  <c r="G18"/>
  <c r="H18"/>
  <c r="G19"/>
  <c r="G20"/>
  <c r="G21"/>
  <c r="L5" i="3"/>
  <c r="L6"/>
  <c r="L6" i="4" s="1"/>
  <c r="L7" i="5" s="1"/>
  <c r="L6" i="6" s="1"/>
  <c r="L6" i="7" s="1"/>
  <c r="L6" i="8" s="1"/>
  <c r="L6" i="9" s="1"/>
  <c r="L6" i="11" s="1"/>
  <c r="L6" i="10" s="1"/>
  <c r="L6" i="12" s="1"/>
  <c r="L6" i="13" s="1"/>
  <c r="L6" i="15" s="1"/>
  <c r="L7" i="3"/>
  <c r="L7" i="4"/>
  <c r="L8" i="5" s="1"/>
  <c r="L7" i="6" s="1"/>
  <c r="L7" i="7" s="1"/>
  <c r="L7" i="8" s="1"/>
  <c r="L7" i="9" s="1"/>
  <c r="L7" i="11" s="1"/>
  <c r="L7" i="10" s="1"/>
  <c r="L7" i="12" s="1"/>
  <c r="L7" i="13" s="1"/>
  <c r="L7" i="15" s="1"/>
  <c r="L8" i="3"/>
  <c r="L8" i="4" s="1"/>
  <c r="L9" i="5" s="1"/>
  <c r="L8" i="6" s="1"/>
  <c r="L8" i="7" s="1"/>
  <c r="L8" i="8" s="1"/>
  <c r="L8" i="9" s="1"/>
  <c r="L8" i="11" s="1"/>
  <c r="L8" i="10" s="1"/>
  <c r="L8" i="12" s="1"/>
  <c r="L8" i="13" s="1"/>
  <c r="L8" i="15" s="1"/>
  <c r="L9" i="3"/>
  <c r="L9" i="4"/>
  <c r="L10" i="5" s="1"/>
  <c r="L9" i="6" s="1"/>
  <c r="L9" i="7" s="1"/>
  <c r="L9" i="8" s="1"/>
  <c r="L9" i="9" s="1"/>
  <c r="L9" i="11" s="1"/>
  <c r="L9" i="10" s="1"/>
  <c r="L9" i="12" s="1"/>
  <c r="L9" i="13" s="1"/>
  <c r="L9" i="15" s="1"/>
  <c r="L10" i="3"/>
  <c r="L10" i="4" s="1"/>
  <c r="L11" i="5" s="1"/>
  <c r="L10" i="6" s="1"/>
  <c r="L10" i="7" s="1"/>
  <c r="L10" i="8" s="1"/>
  <c r="L10" i="9" s="1"/>
  <c r="L10" i="11" s="1"/>
  <c r="L10" i="10" s="1"/>
  <c r="L10" i="12" s="1"/>
  <c r="L10" i="13" s="1"/>
  <c r="L10" i="15" s="1"/>
  <c r="L12" i="3"/>
  <c r="L12" i="4"/>
  <c r="L13" i="5" s="1"/>
  <c r="L12" i="6" s="1"/>
  <c r="L12" i="7" s="1"/>
  <c r="L12" i="8" s="1"/>
  <c r="L12" i="9" s="1"/>
  <c r="L12" i="11" s="1"/>
  <c r="L12" i="10" s="1"/>
  <c r="L12" i="12" s="1"/>
  <c r="L12" i="13" s="1"/>
  <c r="L12" i="15" s="1"/>
  <c r="L13" i="3"/>
  <c r="L13" i="4" s="1"/>
  <c r="L14" i="5" s="1"/>
  <c r="L13" i="6" s="1"/>
  <c r="L13" i="7" s="1"/>
  <c r="L13" i="8" s="1"/>
  <c r="L13" i="9" s="1"/>
  <c r="L13" i="11" s="1"/>
  <c r="L13" i="10" s="1"/>
  <c r="L13" i="12" s="1"/>
  <c r="L13" i="13" s="1"/>
  <c r="L13" i="15" s="1"/>
  <c r="L14" i="3"/>
  <c r="L14" i="4"/>
  <c r="L15" i="5" s="1"/>
  <c r="L14" i="6" s="1"/>
  <c r="L14" i="7" s="1"/>
  <c r="L14" i="8" s="1"/>
  <c r="L14" i="9" s="1"/>
  <c r="L14" i="11" s="1"/>
  <c r="L14" i="10" s="1"/>
  <c r="L14" i="12" s="1"/>
  <c r="L14" i="13" s="1"/>
  <c r="L14" i="15" s="1"/>
  <c r="L15" i="3"/>
  <c r="L15" i="4" s="1"/>
  <c r="L16" i="5" s="1"/>
  <c r="L15" i="6" s="1"/>
  <c r="L15" i="7" s="1"/>
  <c r="L15" i="8" s="1"/>
  <c r="L15" i="9" s="1"/>
  <c r="L15" i="11" s="1"/>
  <c r="L15" i="10" s="1"/>
  <c r="L15" i="12" s="1"/>
  <c r="L15" i="13" s="1"/>
  <c r="L15" i="15" s="1"/>
  <c r="L16" i="3"/>
  <c r="L16" i="4"/>
  <c r="L17" i="5" s="1"/>
  <c r="L16" i="6" s="1"/>
  <c r="L16" i="7" s="1"/>
  <c r="L16" i="8" s="1"/>
  <c r="L16" i="9" s="1"/>
  <c r="L16" i="11" s="1"/>
  <c r="L16" i="10" s="1"/>
  <c r="L16" i="12" s="1"/>
  <c r="L16" i="13" s="1"/>
  <c r="L16" i="15" s="1"/>
  <c r="L17" i="3"/>
  <c r="L17" i="4" s="1"/>
  <c r="L18" i="5" s="1"/>
  <c r="L17" i="6" s="1"/>
  <c r="L17" i="7" s="1"/>
  <c r="L17" i="8" s="1"/>
  <c r="L17" i="9" s="1"/>
  <c r="L17" i="11" s="1"/>
  <c r="L17" i="10" s="1"/>
  <c r="L17" i="12" s="1"/>
  <c r="L17" i="13" s="1"/>
  <c r="L17" i="15" s="1"/>
  <c r="L18" i="3"/>
  <c r="L18" i="4"/>
  <c r="L19" i="5" s="1"/>
  <c r="L18" i="6" s="1"/>
  <c r="L18" i="7" s="1"/>
  <c r="L18" i="8" s="1"/>
  <c r="L18" i="9" s="1"/>
  <c r="L18" i="11" s="1"/>
  <c r="L18" i="10" s="1"/>
  <c r="L18" i="12" s="1"/>
  <c r="L18" i="13" s="1"/>
  <c r="L18" i="15" s="1"/>
  <c r="L19" i="3"/>
  <c r="L19" i="4" s="1"/>
  <c r="L20" i="5" s="1"/>
  <c r="L19" i="6" s="1"/>
  <c r="L19" i="7" s="1"/>
  <c r="L19" i="8" s="1"/>
  <c r="L19" i="9" s="1"/>
  <c r="L19" i="11" s="1"/>
  <c r="L19" i="10" s="1"/>
  <c r="L19" i="12" s="1"/>
  <c r="L19" i="13" s="1"/>
  <c r="L19" i="15" s="1"/>
  <c r="L20" i="3"/>
  <c r="L20" i="4"/>
  <c r="L21" i="5" s="1"/>
  <c r="L20" i="6" s="1"/>
  <c r="L20" i="7" s="1"/>
  <c r="L20" i="8" s="1"/>
  <c r="L20" i="9" s="1"/>
  <c r="L20" i="11" s="1"/>
  <c r="L20" i="10" s="1"/>
  <c r="L20" i="12" s="1"/>
  <c r="L20" i="13" s="1"/>
  <c r="L20" i="15" s="1"/>
  <c r="L21" i="3"/>
  <c r="L21" i="4" s="1"/>
  <c r="L22" i="5" s="1"/>
  <c r="L21" i="6" s="1"/>
  <c r="L21" i="7" s="1"/>
  <c r="L21" i="8" s="1"/>
  <c r="L21" i="9" s="1"/>
  <c r="L21" i="11" s="1"/>
  <c r="L21" i="10" s="1"/>
  <c r="L21" i="12" s="1"/>
  <c r="L21" i="13" s="1"/>
  <c r="L21" i="15" s="1"/>
  <c r="L22" i="3"/>
  <c r="L22" i="4"/>
  <c r="L23" i="5" s="1"/>
  <c r="L22" i="6" s="1"/>
  <c r="L22" i="7" s="1"/>
  <c r="L22" i="8" s="1"/>
  <c r="L22" i="9" s="1"/>
  <c r="L22" i="11" s="1"/>
  <c r="L22" i="10" s="1"/>
  <c r="L22" i="12" s="1"/>
  <c r="L22" i="13" s="1"/>
  <c r="L22" i="15" s="1"/>
  <c r="J20" i="3"/>
  <c r="J21"/>
  <c r="J21" i="4"/>
  <c r="J22" i="5" s="1"/>
  <c r="J21" i="6" s="1"/>
  <c r="J21" i="7" s="1"/>
  <c r="J21" i="8" s="1"/>
  <c r="J21" i="9" s="1"/>
  <c r="J21" i="11" s="1"/>
  <c r="J21" i="10" s="1"/>
  <c r="J21" i="12" s="1"/>
  <c r="J21" i="13" s="1"/>
  <c r="J21" i="15" s="1"/>
  <c r="K24" i="14"/>
  <c r="J4"/>
  <c r="J24"/>
  <c r="I24"/>
  <c r="F4"/>
  <c r="F24" s="1"/>
  <c r="D4"/>
  <c r="E24"/>
  <c r="C2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K23" i="2"/>
  <c r="I23"/>
  <c r="H3"/>
  <c r="G3"/>
  <c r="F23"/>
  <c r="E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L23"/>
  <c r="G22" i="12"/>
  <c r="G13"/>
  <c r="C23"/>
  <c r="D4" i="7"/>
  <c r="H21" i="2"/>
  <c r="G23" i="8"/>
  <c r="H19" i="3"/>
  <c r="H15"/>
  <c r="H7"/>
  <c r="D21"/>
  <c r="H21"/>
  <c r="D21" i="4"/>
  <c r="G23" i="13"/>
  <c r="J22" i="3"/>
  <c r="J22" i="4"/>
  <c r="J23" i="5" s="1"/>
  <c r="J22" i="6" s="1"/>
  <c r="J22" i="7" s="1"/>
  <c r="J22" i="8" s="1"/>
  <c r="J22" i="9" s="1"/>
  <c r="J22" i="11" s="1"/>
  <c r="J22" i="10" s="1"/>
  <c r="J22" i="12" s="1"/>
  <c r="J22" i="13" s="1"/>
  <c r="J22" i="15" s="1"/>
  <c r="J20" i="4"/>
  <c r="J21" i="5" s="1"/>
  <c r="J20" i="6" s="1"/>
  <c r="J20" i="7" s="1"/>
  <c r="J20" i="8" s="1"/>
  <c r="J20" i="9" s="1"/>
  <c r="J20" i="11" s="1"/>
  <c r="J20" i="10" s="1"/>
  <c r="J20" i="12" s="1"/>
  <c r="J20" i="13" s="1"/>
  <c r="J20" i="15" s="1"/>
  <c r="L3" i="3"/>
  <c r="L3" i="4"/>
  <c r="L4" i="5" s="1"/>
  <c r="L4" i="3"/>
  <c r="L4" i="4"/>
  <c r="L5" i="5" s="1"/>
  <c r="L4" i="6" s="1"/>
  <c r="L4" i="14"/>
  <c r="L24"/>
  <c r="L11" i="3"/>
  <c r="L11" i="4" s="1"/>
  <c r="H19" i="2"/>
  <c r="H14"/>
  <c r="H11"/>
  <c r="H6"/>
  <c r="H20"/>
  <c r="H16"/>
  <c r="H29" s="1"/>
  <c r="H12"/>
  <c r="H8"/>
  <c r="H5"/>
  <c r="H13"/>
  <c r="H17"/>
  <c r="H9" i="3"/>
  <c r="H9" i="2"/>
  <c r="H13" i="3"/>
  <c r="H5"/>
  <c r="G4" i="14"/>
  <c r="G24"/>
  <c r="H21" i="5"/>
  <c r="H15"/>
  <c r="H11"/>
  <c r="H7"/>
  <c r="F6" i="7"/>
  <c r="F6" i="8" s="1"/>
  <c r="H6" i="6"/>
  <c r="G23" i="12"/>
  <c r="G23" i="11"/>
  <c r="G23" i="9"/>
  <c r="H9" i="4"/>
  <c r="L5"/>
  <c r="L6" i="5" s="1"/>
  <c r="L5" i="6" s="1"/>
  <c r="L5" i="7" s="1"/>
  <c r="L5" i="8" s="1"/>
  <c r="L5" i="9" s="1"/>
  <c r="L5" i="11" s="1"/>
  <c r="L5" i="10" s="1"/>
  <c r="L5" i="12" s="1"/>
  <c r="L5" i="13" s="1"/>
  <c r="L5" i="15" s="1"/>
  <c r="L23" i="3"/>
  <c r="M4"/>
  <c r="J4" i="4"/>
  <c r="J4" i="5"/>
  <c r="J23" i="3"/>
  <c r="J23" i="2"/>
  <c r="H18" i="4"/>
  <c r="H18" i="3"/>
  <c r="H14" i="4"/>
  <c r="H14" i="3"/>
  <c r="H6" i="4"/>
  <c r="H6" i="3"/>
  <c r="F4" i="5"/>
  <c r="H20" i="4"/>
  <c r="H20" i="3"/>
  <c r="H12" i="4"/>
  <c r="H12" i="3"/>
  <c r="H4" i="4"/>
  <c r="F23" i="3"/>
  <c r="H4"/>
  <c r="H30" s="1"/>
  <c r="H17" i="4"/>
  <c r="H21"/>
  <c r="H4" i="14"/>
  <c r="H24"/>
  <c r="H13" i="4"/>
  <c r="H8"/>
  <c r="H5"/>
  <c r="H19"/>
  <c r="H15"/>
  <c r="H7"/>
  <c r="H10"/>
  <c r="H10" i="3"/>
  <c r="D3" i="4"/>
  <c r="D26" s="1"/>
  <c r="H3" i="3"/>
  <c r="D20" i="7"/>
  <c r="D20" i="8" s="1"/>
  <c r="D20" i="9" s="1"/>
  <c r="D20" i="11" s="1"/>
  <c r="D20" i="10" s="1"/>
  <c r="D20" i="12" s="1"/>
  <c r="D20" i="13" s="1"/>
  <c r="D20" i="15" s="1"/>
  <c r="H20" i="6"/>
  <c r="D19" i="7"/>
  <c r="D19" i="8" s="1"/>
  <c r="D19" i="9" s="1"/>
  <c r="D19" i="11" s="1"/>
  <c r="D19" i="10" s="1"/>
  <c r="D19" i="12" s="1"/>
  <c r="D19" i="13" s="1"/>
  <c r="D19" i="15" s="1"/>
  <c r="D18" i="7"/>
  <c r="D17"/>
  <c r="D17" i="8" s="1"/>
  <c r="D17" i="9" s="1"/>
  <c r="D17" i="11" s="1"/>
  <c r="D17" i="10" s="1"/>
  <c r="D17" i="12" s="1"/>
  <c r="D17" i="13" s="1"/>
  <c r="D17" i="15" s="1"/>
  <c r="D16" i="7"/>
  <c r="D29" s="1"/>
  <c r="D15"/>
  <c r="D15" i="8" s="1"/>
  <c r="D15" i="9" s="1"/>
  <c r="D15" i="11" s="1"/>
  <c r="D14" i="7"/>
  <c r="H14" s="1"/>
  <c r="H14" i="6"/>
  <c r="D13" i="7"/>
  <c r="D13" i="8" s="1"/>
  <c r="D13" i="9" s="1"/>
  <c r="D13" i="11" s="1"/>
  <c r="D13" i="10" s="1"/>
  <c r="D13" i="12" s="1"/>
  <c r="D13" i="13" s="1"/>
  <c r="D13" i="15" s="1"/>
  <c r="D12" i="7"/>
  <c r="D12" i="8" s="1"/>
  <c r="D12" i="9" s="1"/>
  <c r="D12" i="11" s="1"/>
  <c r="D12" i="10" s="1"/>
  <c r="D12" i="12" s="1"/>
  <c r="D12" i="13" s="1"/>
  <c r="D12" i="15" s="1"/>
  <c r="D11" i="7"/>
  <c r="D10"/>
  <c r="D10" i="8" s="1"/>
  <c r="D10" i="9" s="1"/>
  <c r="D10" i="11" s="1"/>
  <c r="D10" i="10" s="1"/>
  <c r="D10" i="12" s="1"/>
  <c r="D10" i="13" s="1"/>
  <c r="D10" i="15" s="1"/>
  <c r="H10" i="6"/>
  <c r="D9" i="7"/>
  <c r="D9" i="8" s="1"/>
  <c r="D9" i="9" s="1"/>
  <c r="D9" i="11" s="1"/>
  <c r="D9" i="10" s="1"/>
  <c r="D9" i="12" s="1"/>
  <c r="D9" i="13" s="1"/>
  <c r="D9" i="15" s="1"/>
  <c r="D8" i="7"/>
  <c r="D8" i="8" s="1"/>
  <c r="D8" i="9" s="1"/>
  <c r="D8" i="11" s="1"/>
  <c r="D8" i="10" s="1"/>
  <c r="D8" i="12" s="1"/>
  <c r="D8" i="13" s="1"/>
  <c r="D8" i="15" s="1"/>
  <c r="D7" i="7"/>
  <c r="D7" i="8" s="1"/>
  <c r="D7" i="9" s="1"/>
  <c r="D7" i="11" s="1"/>
  <c r="H11" i="4"/>
  <c r="H11" i="3"/>
  <c r="D5" i="7"/>
  <c r="D5" i="8" s="1"/>
  <c r="D5" i="9" s="1"/>
  <c r="D5" i="11" s="1"/>
  <c r="D5" i="10" s="1"/>
  <c r="D5" i="12" s="1"/>
  <c r="D5" i="13" s="1"/>
  <c r="D5" i="15" s="1"/>
  <c r="H8" i="3"/>
  <c r="H16"/>
  <c r="H29" s="1"/>
  <c r="H17"/>
  <c r="D4" i="8"/>
  <c r="D4" i="9" s="1"/>
  <c r="D24" i="14"/>
  <c r="H10" i="2"/>
  <c r="H28" s="1"/>
  <c r="G23"/>
  <c r="C23"/>
  <c r="J3" i="6"/>
  <c r="J5" i="5"/>
  <c r="M4" i="4"/>
  <c r="F3" i="6"/>
  <c r="H10" i="7"/>
  <c r="D11" i="8"/>
  <c r="D11" i="9" s="1"/>
  <c r="D11" i="11" s="1"/>
  <c r="D14" i="8"/>
  <c r="D14" i="9" s="1"/>
  <c r="D14" i="11" s="1"/>
  <c r="D14" i="10" s="1"/>
  <c r="D14" i="12" s="1"/>
  <c r="D18" i="8"/>
  <c r="D18" i="9" s="1"/>
  <c r="D18" i="11" s="1"/>
  <c r="D18" i="10" s="1"/>
  <c r="D18" i="12" s="1"/>
  <c r="D18" i="13" s="1"/>
  <c r="D18" i="15" s="1"/>
  <c r="H20" i="7"/>
  <c r="H3" i="4"/>
  <c r="H26" s="1"/>
  <c r="D22" i="3"/>
  <c r="D23" i="2"/>
  <c r="H22"/>
  <c r="H23"/>
  <c r="J4" i="6"/>
  <c r="J3" i="7"/>
  <c r="J3" i="8" s="1"/>
  <c r="J3" i="9" s="1"/>
  <c r="J3" i="11" s="1"/>
  <c r="H4" i="5"/>
  <c r="D3" i="6"/>
  <c r="D22" i="4"/>
  <c r="D23" s="1"/>
  <c r="D22" i="6"/>
  <c r="D22" i="7" s="1"/>
  <c r="D22" i="8" s="1"/>
  <c r="D22" i="9" s="1"/>
  <c r="D22" i="11" s="1"/>
  <c r="D22" i="10" s="1"/>
  <c r="D22" i="12" s="1"/>
  <c r="D22" i="13" s="1"/>
  <c r="D22" i="15" s="1"/>
  <c r="H22" i="3"/>
  <c r="H23"/>
  <c r="D23"/>
  <c r="J4" i="7"/>
  <c r="H22" i="4"/>
  <c r="G23" i="3"/>
  <c r="D21" i="6"/>
  <c r="D21" i="7" s="1"/>
  <c r="D21" i="8" s="1"/>
  <c r="D21" i="9" s="1"/>
  <c r="D21" i="11" s="1"/>
  <c r="D21" i="10" s="1"/>
  <c r="D21" i="12" s="1"/>
  <c r="D21" i="13" s="1"/>
  <c r="D21" i="15" s="1"/>
  <c r="D24" i="5"/>
  <c r="F22" i="6"/>
  <c r="F22" i="7" s="1"/>
  <c r="F22" i="8" s="1"/>
  <c r="H23" i="5"/>
  <c r="F21" i="6"/>
  <c r="F21" i="7" s="1"/>
  <c r="F21" i="8" s="1"/>
  <c r="F21" i="9" s="1"/>
  <c r="F21" i="11" s="1"/>
  <c r="F21" i="10" s="1"/>
  <c r="F21" i="12" s="1"/>
  <c r="H22" i="5"/>
  <c r="G26" i="7"/>
  <c r="G26" i="4"/>
  <c r="G26" i="11"/>
  <c r="J30" i="15" l="1"/>
  <c r="H21" i="6"/>
  <c r="D16" i="8"/>
  <c r="D29" s="1"/>
  <c r="G23" i="6"/>
  <c r="G26"/>
  <c r="F3" i="7"/>
  <c r="D3"/>
  <c r="D26" s="1"/>
  <c r="D26" i="6"/>
  <c r="H22" i="7"/>
  <c r="H22" i="6"/>
  <c r="D23"/>
  <c r="D3" i="8"/>
  <c r="D3" i="9" s="1"/>
  <c r="D3" i="11" s="1"/>
  <c r="D3" i="10" s="1"/>
  <c r="D23" i="7"/>
  <c r="H21"/>
  <c r="G24" i="5"/>
  <c r="H22" i="8"/>
  <c r="F22" i="9"/>
  <c r="F22" i="11" s="1"/>
  <c r="H3" i="6"/>
  <c r="F18"/>
  <c r="H19" i="5"/>
  <c r="F8" i="6"/>
  <c r="H9" i="5"/>
  <c r="H13"/>
  <c r="F12" i="6"/>
  <c r="F5" i="7"/>
  <c r="H5" i="6"/>
  <c r="H21" i="8"/>
  <c r="J31" i="5"/>
  <c r="H6" i="7"/>
  <c r="J30" i="4"/>
  <c r="F26"/>
  <c r="J3" i="10"/>
  <c r="L3" i="6"/>
  <c r="F14" i="9"/>
  <c r="H14" i="8"/>
  <c r="J5" i="7"/>
  <c r="H18" i="5"/>
  <c r="F17" i="6"/>
  <c r="F15"/>
  <c r="H16" i="5"/>
  <c r="H12"/>
  <c r="F11" i="6"/>
  <c r="H8" i="5"/>
  <c r="F7" i="6"/>
  <c r="H5" i="5"/>
  <c r="F4" i="6"/>
  <c r="H6" i="8"/>
  <c r="F6" i="9"/>
  <c r="F6" i="11" s="1"/>
  <c r="F6" i="10" s="1"/>
  <c r="L4" i="7"/>
  <c r="L4" i="8" s="1"/>
  <c r="M4" i="6"/>
  <c r="F20" i="9"/>
  <c r="H20" i="8"/>
  <c r="F10" i="9"/>
  <c r="H10" i="8"/>
  <c r="F22" i="10"/>
  <c r="H22" i="11"/>
  <c r="F3" i="8"/>
  <c r="H3" i="7"/>
  <c r="L12" i="5"/>
  <c r="L11" i="6" s="1"/>
  <c r="L11" i="7" s="1"/>
  <c r="L11" i="8" s="1"/>
  <c r="L11" i="9" s="1"/>
  <c r="L11" i="11" s="1"/>
  <c r="L11" i="10" s="1"/>
  <c r="L11" i="12" s="1"/>
  <c r="L11" i="13" s="1"/>
  <c r="L11" i="15" s="1"/>
  <c r="L23" i="4"/>
  <c r="J6" i="6"/>
  <c r="J6" i="7" s="1"/>
  <c r="J6" i="8" s="1"/>
  <c r="J6" i="9" s="1"/>
  <c r="J6" i="11" s="1"/>
  <c r="J6" i="10" s="1"/>
  <c r="J6" i="12" s="1"/>
  <c r="J6" i="13" s="1"/>
  <c r="J6" i="15" s="1"/>
  <c r="H20" i="5"/>
  <c r="F19" i="6"/>
  <c r="F13"/>
  <c r="H14" i="5"/>
  <c r="F9" i="6"/>
  <c r="H10" i="5"/>
  <c r="J29" i="3"/>
  <c r="J16" i="4"/>
  <c r="J30" i="7"/>
  <c r="J30" i="6"/>
  <c r="H6" i="9"/>
  <c r="F29" i="3"/>
  <c r="F16" i="4"/>
  <c r="H22" i="9"/>
  <c r="J4" i="8"/>
  <c r="J23" i="4"/>
  <c r="H6" i="5"/>
  <c r="G25" i="13"/>
  <c r="G28" i="10"/>
  <c r="G30"/>
  <c r="G28" i="12"/>
  <c r="G27" i="13"/>
  <c r="G29"/>
  <c r="J30" i="3"/>
  <c r="G30" i="12"/>
  <c r="J30" i="2"/>
  <c r="H21" i="11"/>
  <c r="D4"/>
  <c r="D4" i="12" s="1"/>
  <c r="D4" i="13" s="1"/>
  <c r="D4" i="15" s="1"/>
  <c r="D3" i="12"/>
  <c r="H21"/>
  <c r="F21" i="13"/>
  <c r="H6" i="11"/>
  <c r="H21" i="10"/>
  <c r="D14" i="13"/>
  <c r="D14" i="15" s="1"/>
  <c r="D7" i="10"/>
  <c r="D11"/>
  <c r="D15"/>
  <c r="H21" i="9"/>
  <c r="G28" i="11"/>
  <c r="G28" i="9"/>
  <c r="G28" i="8"/>
  <c r="G28" i="7"/>
  <c r="G28" i="6"/>
  <c r="G29" i="5"/>
  <c r="G28" i="4"/>
  <c r="G28" i="3"/>
  <c r="J27" i="13"/>
  <c r="J28" i="12"/>
  <c r="J28" i="10"/>
  <c r="J28" i="11"/>
  <c r="J28" i="9"/>
  <c r="J28" i="8"/>
  <c r="J28" i="7"/>
  <c r="J28" i="6"/>
  <c r="J29" i="5"/>
  <c r="J28" i="4"/>
  <c r="J28" i="3"/>
  <c r="J28" i="2"/>
  <c r="D28" i="7"/>
  <c r="H29" i="5"/>
  <c r="D28" i="11"/>
  <c r="D28" i="6"/>
  <c r="F28"/>
  <c r="F29" i="5"/>
  <c r="F28" i="4"/>
  <c r="F28" i="3"/>
  <c r="F28" i="2"/>
  <c r="D28" i="9"/>
  <c r="D28" i="8"/>
  <c r="H28" i="3"/>
  <c r="H28" i="4"/>
  <c r="G28" i="2"/>
  <c r="D29" i="5"/>
  <c r="D28" i="4"/>
  <c r="D28" i="3"/>
  <c r="D28" i="2"/>
  <c r="D30" i="12"/>
  <c r="D30" i="10"/>
  <c r="D30" i="11"/>
  <c r="G30"/>
  <c r="G30" i="9"/>
  <c r="D30"/>
  <c r="D30" i="8"/>
  <c r="G30"/>
  <c r="G30" i="7"/>
  <c r="D30" i="6"/>
  <c r="D30" i="7"/>
  <c r="G30" i="6"/>
  <c r="H31" i="5"/>
  <c r="D31"/>
  <c r="F31"/>
  <c r="G31"/>
  <c r="G30" i="4"/>
  <c r="D30"/>
  <c r="D30" i="3"/>
  <c r="F30" i="4"/>
  <c r="F30" i="3"/>
  <c r="H30" i="4"/>
  <c r="G30" i="3"/>
  <c r="D30" i="2"/>
  <c r="F30"/>
  <c r="H30"/>
  <c r="G30"/>
  <c r="D29" i="13"/>
  <c r="H21" l="1"/>
  <c r="F21" i="15"/>
  <c r="H21" s="1"/>
  <c r="D32"/>
  <c r="F30" i="6"/>
  <c r="D16" i="9"/>
  <c r="D29" s="1"/>
  <c r="D28" i="10"/>
  <c r="F26" i="6"/>
  <c r="D26" i="11"/>
  <c r="D23" i="8"/>
  <c r="D16" i="11"/>
  <c r="D23" i="9"/>
  <c r="F5" i="8"/>
  <c r="H5" i="7"/>
  <c r="F8"/>
  <c r="H8" i="6"/>
  <c r="F18" i="7"/>
  <c r="H18" i="6"/>
  <c r="F12" i="7"/>
  <c r="H12" i="6"/>
  <c r="F29" i="4"/>
  <c r="H16"/>
  <c r="F23"/>
  <c r="F17" i="5"/>
  <c r="J29" i="4"/>
  <c r="J17" i="5"/>
  <c r="F19" i="7"/>
  <c r="H19" i="6"/>
  <c r="F15" i="7"/>
  <c r="H15" i="6"/>
  <c r="J5" i="8"/>
  <c r="J5" i="9" s="1"/>
  <c r="J5" i="11" s="1"/>
  <c r="J5" i="10" s="1"/>
  <c r="J5" i="12" s="1"/>
  <c r="J5" i="13" s="1"/>
  <c r="J5" i="15" s="1"/>
  <c r="F14" i="11"/>
  <c r="H14" i="9"/>
  <c r="L24" i="5"/>
  <c r="J30" i="8"/>
  <c r="J4" i="9"/>
  <c r="F9" i="7"/>
  <c r="H9" i="6"/>
  <c r="F13" i="7"/>
  <c r="H13" i="6"/>
  <c r="F3" i="9"/>
  <c r="H3" i="8"/>
  <c r="H22" i="10"/>
  <c r="F22" i="12"/>
  <c r="F10" i="11"/>
  <c r="H10" i="9"/>
  <c r="F20" i="11"/>
  <c r="H20" i="9"/>
  <c r="L4"/>
  <c r="M4" i="8"/>
  <c r="F4" i="7"/>
  <c r="H4" i="6"/>
  <c r="F7" i="7"/>
  <c r="H7" i="6"/>
  <c r="F11" i="7"/>
  <c r="H11" i="6"/>
  <c r="H28" s="1"/>
  <c r="F17" i="7"/>
  <c r="H17" i="6"/>
  <c r="L3" i="7"/>
  <c r="L23" i="6"/>
  <c r="J3" i="12"/>
  <c r="D3" i="13"/>
  <c r="D3" i="15" s="1"/>
  <c r="H6" i="10"/>
  <c r="F6" i="12"/>
  <c r="D15"/>
  <c r="D11"/>
  <c r="D7"/>
  <c r="H26" i="6" l="1"/>
  <c r="D29" i="11"/>
  <c r="D16" i="10"/>
  <c r="D23" i="11"/>
  <c r="F12" i="8"/>
  <c r="H12" i="7"/>
  <c r="F18" i="8"/>
  <c r="H18" i="7"/>
  <c r="F8" i="8"/>
  <c r="H8" i="7"/>
  <c r="F5" i="9"/>
  <c r="H5" i="8"/>
  <c r="L23" i="7"/>
  <c r="L3" i="8"/>
  <c r="F17"/>
  <c r="H17" i="7"/>
  <c r="F11" i="8"/>
  <c r="H11" i="7"/>
  <c r="F28"/>
  <c r="F7" i="8"/>
  <c r="H7" i="7"/>
  <c r="F26"/>
  <c r="F22" i="13"/>
  <c r="H22" i="12"/>
  <c r="F3" i="11"/>
  <c r="H3" i="9"/>
  <c r="F13" i="8"/>
  <c r="H13" i="7"/>
  <c r="F9" i="8"/>
  <c r="H9" i="7"/>
  <c r="H14" i="11"/>
  <c r="F14" i="10"/>
  <c r="F15" i="8"/>
  <c r="H15" i="7"/>
  <c r="F19" i="8"/>
  <c r="H19" i="7"/>
  <c r="J3" i="13"/>
  <c r="J3" i="15" s="1"/>
  <c r="H30" i="6"/>
  <c r="F30" i="7"/>
  <c r="F4" i="8"/>
  <c r="H4" i="7"/>
  <c r="L4" i="11"/>
  <c r="M4" i="9"/>
  <c r="H20" i="11"/>
  <c r="F20" i="10"/>
  <c r="H10" i="11"/>
  <c r="F10" i="10"/>
  <c r="J30" i="9"/>
  <c r="J4" i="11"/>
  <c r="J30" i="5"/>
  <c r="J16" i="6"/>
  <c r="J24" i="5"/>
  <c r="F30"/>
  <c r="H17"/>
  <c r="F24"/>
  <c r="H29" i="4"/>
  <c r="H23"/>
  <c r="F6" i="13"/>
  <c r="F6" i="15" s="1"/>
  <c r="H6" s="1"/>
  <c r="H6" i="12"/>
  <c r="D15" i="13"/>
  <c r="D15" i="15" s="1"/>
  <c r="D7" i="13"/>
  <c r="D11"/>
  <c r="D11" i="15" s="1"/>
  <c r="D28" i="12"/>
  <c r="H22" i="13" l="1"/>
  <c r="F22" i="15"/>
  <c r="H22" s="1"/>
  <c r="D30"/>
  <c r="D25" i="13"/>
  <c r="D7" i="15"/>
  <c r="D29" i="10"/>
  <c r="D16" i="12"/>
  <c r="D23" i="10"/>
  <c r="F5" i="11"/>
  <c r="H5" i="9"/>
  <c r="H8" i="8"/>
  <c r="F8" i="9"/>
  <c r="H18" i="8"/>
  <c r="F18" i="9"/>
  <c r="H12" i="8"/>
  <c r="F12" i="9"/>
  <c r="H30" i="5"/>
  <c r="H24"/>
  <c r="J30" i="11"/>
  <c r="J4" i="10"/>
  <c r="F10" i="12"/>
  <c r="H10" i="10"/>
  <c r="L4"/>
  <c r="M4" i="11"/>
  <c r="H30" i="7"/>
  <c r="F14" i="12"/>
  <c r="H14" i="10"/>
  <c r="H3" i="11"/>
  <c r="F3" i="10"/>
  <c r="F11" i="9"/>
  <c r="H11" i="8"/>
  <c r="F28"/>
  <c r="F17" i="9"/>
  <c r="H17" i="8"/>
  <c r="H26" i="7"/>
  <c r="F16"/>
  <c r="H16" i="6"/>
  <c r="F23"/>
  <c r="J16" i="7"/>
  <c r="J23" i="6"/>
  <c r="H20" i="10"/>
  <c r="F20" i="12"/>
  <c r="F30" i="8"/>
  <c r="F4" i="9"/>
  <c r="H4" i="8"/>
  <c r="F19" i="9"/>
  <c r="H19" i="8"/>
  <c r="F15" i="9"/>
  <c r="H15" i="8"/>
  <c r="F9" i="9"/>
  <c r="H9" i="8"/>
  <c r="F13" i="9"/>
  <c r="H13" i="8"/>
  <c r="F7" i="9"/>
  <c r="H7" i="8"/>
  <c r="L3" i="9"/>
  <c r="L23" i="8"/>
  <c r="H28" i="7"/>
  <c r="H6" i="13"/>
  <c r="D27"/>
  <c r="D28" i="15" l="1"/>
  <c r="D29" i="12"/>
  <c r="D16" i="13"/>
  <c r="D16" i="15" s="1"/>
  <c r="D23" i="12"/>
  <c r="F5" i="10"/>
  <c r="H5" i="11"/>
  <c r="H12" i="9"/>
  <c r="F12" i="11"/>
  <c r="H18" i="9"/>
  <c r="F18" i="11"/>
  <c r="H8" i="9"/>
  <c r="F8" i="11"/>
  <c r="F30" i="9"/>
  <c r="F4" i="11"/>
  <c r="H4" i="9"/>
  <c r="H20" i="12"/>
  <c r="F20" i="13"/>
  <c r="H23" i="6"/>
  <c r="F11" i="11"/>
  <c r="H11" i="9"/>
  <c r="F28"/>
  <c r="F3" i="12"/>
  <c r="H3" i="10"/>
  <c r="F14" i="13"/>
  <c r="H14" i="12"/>
  <c r="L4"/>
  <c r="M4" i="10"/>
  <c r="L3" i="11"/>
  <c r="L23" i="9"/>
  <c r="F7" i="11"/>
  <c r="H7" i="9"/>
  <c r="F13" i="11"/>
  <c r="H13" i="9"/>
  <c r="F9" i="11"/>
  <c r="H9" i="9"/>
  <c r="F15" i="11"/>
  <c r="H15" i="9"/>
  <c r="F19" i="11"/>
  <c r="H19" i="9"/>
  <c r="H30" i="8"/>
  <c r="J29" i="7"/>
  <c r="J16" i="8"/>
  <c r="J23" i="7"/>
  <c r="F29"/>
  <c r="F16" i="8"/>
  <c r="H16" i="7"/>
  <c r="F23"/>
  <c r="F17" i="11"/>
  <c r="H17" i="9"/>
  <c r="F10" i="13"/>
  <c r="F10" i="15" s="1"/>
  <c r="H10" i="12"/>
  <c r="J30" i="10"/>
  <c r="J4" i="12"/>
  <c r="H28" i="8"/>
  <c r="H20" i="13" l="1"/>
  <c r="F20" i="15"/>
  <c r="H20" s="1"/>
  <c r="D31"/>
  <c r="H14" i="13"/>
  <c r="F14" i="15"/>
  <c r="H14" s="1"/>
  <c r="H10"/>
  <c r="D28" i="13"/>
  <c r="D23"/>
  <c r="D23" i="15" s="1"/>
  <c r="H5" i="10"/>
  <c r="F5" i="12"/>
  <c r="F8" i="10"/>
  <c r="H8" i="11"/>
  <c r="F18" i="10"/>
  <c r="H18" i="11"/>
  <c r="F12" i="10"/>
  <c r="H12" i="11"/>
  <c r="H10" i="13"/>
  <c r="F29" i="8"/>
  <c r="F16" i="9"/>
  <c r="H16" i="8"/>
  <c r="F23"/>
  <c r="H19" i="11"/>
  <c r="F19" i="10"/>
  <c r="F15"/>
  <c r="H15" i="11"/>
  <c r="H9"/>
  <c r="F9" i="10"/>
  <c r="H13" i="11"/>
  <c r="F13" i="10"/>
  <c r="F7"/>
  <c r="H7" i="11"/>
  <c r="F26"/>
  <c r="L3" i="10"/>
  <c r="L23" i="11"/>
  <c r="L4" i="13"/>
  <c r="L4" i="15" s="1"/>
  <c r="M4" s="1"/>
  <c r="M4" i="12"/>
  <c r="F11" i="10"/>
  <c r="H11" i="11"/>
  <c r="H28" s="1"/>
  <c r="F28"/>
  <c r="H30" i="9"/>
  <c r="J30" i="12"/>
  <c r="J4" i="13"/>
  <c r="J4" i="15" s="1"/>
  <c r="J32" s="1"/>
  <c r="F17" i="10"/>
  <c r="H17" i="11"/>
  <c r="H29" i="7"/>
  <c r="H23"/>
  <c r="J29" i="8"/>
  <c r="J16" i="9"/>
  <c r="J23" i="8"/>
  <c r="F3" i="13"/>
  <c r="F3" i="15" s="1"/>
  <c r="H3" i="12"/>
  <c r="F4" i="10"/>
  <c r="F30" i="11"/>
  <c r="H4"/>
  <c r="H28" i="9"/>
  <c r="H3" i="15" l="1"/>
  <c r="F12" i="12"/>
  <c r="H12" i="10"/>
  <c r="H18"/>
  <c r="F18" i="12"/>
  <c r="F8"/>
  <c r="H8" i="10"/>
  <c r="F5" i="13"/>
  <c r="H5" i="12"/>
  <c r="H3" i="13"/>
  <c r="J29" i="9"/>
  <c r="J16" i="11"/>
  <c r="J23" i="9"/>
  <c r="H30" i="11"/>
  <c r="F30" i="10"/>
  <c r="H4"/>
  <c r="F4" i="12"/>
  <c r="F17"/>
  <c r="H17" i="10"/>
  <c r="J29" i="13"/>
  <c r="F7" i="12"/>
  <c r="H7" i="10"/>
  <c r="F15" i="12"/>
  <c r="H15" i="10"/>
  <c r="H29" i="8"/>
  <c r="H23"/>
  <c r="F11" i="12"/>
  <c r="H11" i="10"/>
  <c r="F28"/>
  <c r="L23"/>
  <c r="L3" i="12"/>
  <c r="F13"/>
  <c r="H13" i="10"/>
  <c r="F9" i="12"/>
  <c r="H9" i="10"/>
  <c r="F19" i="12"/>
  <c r="H19" i="10"/>
  <c r="F29" i="9"/>
  <c r="H16"/>
  <c r="F16" i="11"/>
  <c r="F23" i="9"/>
  <c r="M4" i="13"/>
  <c r="H26" i="11"/>
  <c r="H5" i="13" l="1"/>
  <c r="F5" i="15"/>
  <c r="H5" s="1"/>
  <c r="F8" i="13"/>
  <c r="H8" i="12"/>
  <c r="H12"/>
  <c r="F12" i="13"/>
  <c r="H18" i="12"/>
  <c r="F18" i="13"/>
  <c r="H29" i="9"/>
  <c r="H23"/>
  <c r="L3" i="13"/>
  <c r="L23" i="12"/>
  <c r="F11" i="13"/>
  <c r="F11" i="15" s="1"/>
  <c r="H11" s="1"/>
  <c r="H11" i="12"/>
  <c r="F28"/>
  <c r="H30" i="10"/>
  <c r="F16"/>
  <c r="H16" i="11"/>
  <c r="F29"/>
  <c r="F23"/>
  <c r="H19" i="12"/>
  <c r="F19" i="13"/>
  <c r="H9" i="12"/>
  <c r="F9" i="13"/>
  <c r="H13" i="12"/>
  <c r="F13" i="13"/>
  <c r="F15"/>
  <c r="H15" i="12"/>
  <c r="F7" i="13"/>
  <c r="F7" i="15" s="1"/>
  <c r="H7" i="12"/>
  <c r="F17" i="13"/>
  <c r="H17" i="12"/>
  <c r="H4"/>
  <c r="F4" i="13"/>
  <c r="F4" i="15" s="1"/>
  <c r="F30" i="12"/>
  <c r="J29" i="11"/>
  <c r="J16" i="10"/>
  <c r="J23" i="11"/>
  <c r="H28" i="10"/>
  <c r="L23" i="13" l="1"/>
  <c r="L23" i="15" s="1"/>
  <c r="L3"/>
  <c r="H19" i="13"/>
  <c r="F19" i="15"/>
  <c r="H19" s="1"/>
  <c r="H18" i="13"/>
  <c r="F18" i="15"/>
  <c r="H18" s="1"/>
  <c r="H12" i="13"/>
  <c r="F12" i="15"/>
  <c r="H12" s="1"/>
  <c r="H17" i="13"/>
  <c r="F17" i="15"/>
  <c r="H17" s="1"/>
  <c r="H15" i="13"/>
  <c r="F15" i="15"/>
  <c r="H13" i="13"/>
  <c r="F13" i="15"/>
  <c r="H13" s="1"/>
  <c r="H9" i="13"/>
  <c r="F9" i="15"/>
  <c r="H9" s="1"/>
  <c r="H8" i="13"/>
  <c r="F8" i="15"/>
  <c r="H8" s="1"/>
  <c r="H7"/>
  <c r="H28" s="1"/>
  <c r="F28"/>
  <c r="F32"/>
  <c r="H4"/>
  <c r="J29" i="10"/>
  <c r="J16" i="12"/>
  <c r="J23" i="10"/>
  <c r="F29" i="13"/>
  <c r="H4"/>
  <c r="H29" i="11"/>
  <c r="H23"/>
  <c r="H11" i="13"/>
  <c r="H27" s="1"/>
  <c r="F27"/>
  <c r="H30" i="12"/>
  <c r="H7" i="13"/>
  <c r="H25" s="1"/>
  <c r="F25"/>
  <c r="F16" i="12"/>
  <c r="F29" i="10"/>
  <c r="H16"/>
  <c r="F23"/>
  <c r="H28" i="12"/>
  <c r="H15" i="15" l="1"/>
  <c r="H30" s="1"/>
  <c r="F30"/>
  <c r="H32"/>
  <c r="H29" i="10"/>
  <c r="H23"/>
  <c r="F29" i="12"/>
  <c r="F16" i="13"/>
  <c r="F16" i="15" s="1"/>
  <c r="H16" i="12"/>
  <c r="F23"/>
  <c r="H29" i="13"/>
  <c r="J29" i="12"/>
  <c r="J16" i="13"/>
  <c r="J16" i="15" s="1"/>
  <c r="J31" s="1"/>
  <c r="J23" i="12"/>
  <c r="F31" i="15" l="1"/>
  <c r="H16"/>
  <c r="H29" i="12"/>
  <c r="H23"/>
  <c r="J28" i="13"/>
  <c r="J23"/>
  <c r="J23" i="15" s="1"/>
  <c r="F28" i="13"/>
  <c r="H16"/>
  <c r="F23"/>
  <c r="F23" i="15" s="1"/>
  <c r="H31" l="1"/>
  <c r="H23"/>
  <c r="H28" i="13"/>
  <c r="H23"/>
</calcChain>
</file>

<file path=xl/sharedStrings.xml><?xml version="1.0" encoding="utf-8"?>
<sst xmlns="http://schemas.openxmlformats.org/spreadsheetml/2006/main" count="273" uniqueCount="53">
  <si>
    <t>п/п</t>
  </si>
  <si>
    <t>Виды услуг</t>
  </si>
  <si>
    <t>нач. за месяц</t>
  </si>
  <si>
    <t>нач. с нач. года</t>
  </si>
  <si>
    <t>упл. жильц.за мес.</t>
  </si>
  <si>
    <t>упл.ж. с нач года</t>
  </si>
  <si>
    <t>разн. за мес.</t>
  </si>
  <si>
    <t>разн. с нач. отч. пер.</t>
  </si>
  <si>
    <t>выст. за мес.</t>
  </si>
  <si>
    <t xml:space="preserve">выст.с нач.года </t>
  </si>
  <si>
    <t>упл. Рел. в мес.</t>
  </si>
  <si>
    <t>Упл. с нач. года</t>
  </si>
  <si>
    <t>итого</t>
  </si>
  <si>
    <t>Отопление</t>
  </si>
  <si>
    <t xml:space="preserve">Содер общ им </t>
  </si>
  <si>
    <t>Горячее водоснабжение</t>
  </si>
  <si>
    <t>Холодная вода</t>
  </si>
  <si>
    <t>ул Есенина д.36 к.3</t>
  </si>
  <si>
    <t>ЕСЕНИНА д.36 к.3</t>
  </si>
  <si>
    <t>Содержание общ.имущ.дома</t>
  </si>
  <si>
    <t>Сод.и ремонт АППЗ</t>
  </si>
  <si>
    <t>Сод.и ремонт лифтов</t>
  </si>
  <si>
    <t>Очистка мусоропроводов</t>
  </si>
  <si>
    <t>Уборка и сан.очистка зем.уч.</t>
  </si>
  <si>
    <t>Канализир.х.воды</t>
  </si>
  <si>
    <t>Канализир.г.воды</t>
  </si>
  <si>
    <t>Тек.рем.общ.имущ.дома</t>
  </si>
  <si>
    <t>Управление многокв.домом</t>
  </si>
  <si>
    <t>Водоотведение(кв)</t>
  </si>
  <si>
    <t>Электроснабж.на общед.нужды</t>
  </si>
  <si>
    <t>Эксплуатация общедом.ПУ</t>
  </si>
  <si>
    <t>Водоотведение(о/д нужды)</t>
  </si>
  <si>
    <t>Отопление (о/д нужды)</t>
  </si>
  <si>
    <t>Гор.водоснабж.(о/д нужды)</t>
  </si>
  <si>
    <t>Форма 22</t>
  </si>
  <si>
    <t>водоканал</t>
  </si>
  <si>
    <t>ПСК</t>
  </si>
  <si>
    <t>ГУПТЭК</t>
  </si>
  <si>
    <t>Холодн водосн о/д нужды</t>
  </si>
  <si>
    <t xml:space="preserve">Есенина 36 к.3 </t>
  </si>
  <si>
    <t>Январь 2018г.</t>
  </si>
  <si>
    <t>Феварль 2018г.</t>
  </si>
  <si>
    <t>Март 2018г.</t>
  </si>
  <si>
    <t>Апрель 2018г.</t>
  </si>
  <si>
    <t>Май 2018г.</t>
  </si>
  <si>
    <t>Июнь 2018г.</t>
  </si>
  <si>
    <t>Июль 2018г.</t>
  </si>
  <si>
    <t xml:space="preserve"> Сентябрь 2018г.</t>
  </si>
  <si>
    <t>Август 2018г.</t>
  </si>
  <si>
    <t>Есенина 36 к.3                  Октябрь 2018г.</t>
  </si>
  <si>
    <t xml:space="preserve"> Ноябрь 2018г.</t>
  </si>
  <si>
    <t>Декабрь 2018г.</t>
  </si>
  <si>
    <t>Январь 2019г.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</si>
</sst>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0_ ;[Red]\-0.00\ "/>
    <numFmt numFmtId="166" formatCode="#,##0.00\ _₽"/>
  </numFmts>
  <fonts count="8">
    <font>
      <sz val="10"/>
      <name val="Arial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Cambria"/>
      <family val="1"/>
      <charset val="204"/>
    </font>
    <font>
      <b/>
      <sz val="10"/>
      <name val="Cambria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1" xfId="0" applyBorder="1"/>
    <xf numFmtId="2" fontId="0" fillId="0" borderId="1" xfId="0" applyNumberFormat="1" applyBorder="1"/>
    <xf numFmtId="2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0" borderId="1" xfId="0" applyBorder="1" applyAlignment="1">
      <alignment shrinkToFit="1"/>
    </xf>
    <xf numFmtId="2" fontId="0" fillId="0" borderId="1" xfId="0" applyNumberFormat="1" applyBorder="1" applyAlignment="1">
      <alignment horizontal="center" shrinkToFit="1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17" fontId="0" fillId="0" borderId="0" xfId="0" applyNumberForma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 shrinkToFit="1"/>
    </xf>
    <xf numFmtId="49" fontId="1" fillId="0" borderId="1" xfId="0" applyNumberFormat="1" applyFont="1" applyBorder="1" applyAlignment="1">
      <alignment horizontal="center" wrapText="1" shrinkToFit="1"/>
    </xf>
    <xf numFmtId="0" fontId="1" fillId="0" borderId="1" xfId="0" applyFont="1" applyBorder="1" applyAlignment="1">
      <alignment wrapText="1" shrinkToFit="1"/>
    </xf>
    <xf numFmtId="165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/>
    <xf numFmtId="2" fontId="0" fillId="2" borderId="1" xfId="0" applyNumberFormat="1" applyFill="1" applyBorder="1" applyAlignment="1">
      <alignment horizontal="center" shrinkToFit="1"/>
    </xf>
    <xf numFmtId="0" fontId="0" fillId="2" borderId="1" xfId="0" applyFill="1" applyBorder="1"/>
    <xf numFmtId="165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/>
    <xf numFmtId="165" fontId="0" fillId="0" borderId="0" xfId="0" applyNumberFormat="1"/>
    <xf numFmtId="2" fontId="1" fillId="2" borderId="1" xfId="0" applyNumberFormat="1" applyFont="1" applyFill="1" applyBorder="1" applyAlignment="1">
      <alignment horizontal="center" shrinkToFit="1"/>
    </xf>
    <xf numFmtId="0" fontId="1" fillId="2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 shrinkToFit="1"/>
    </xf>
    <xf numFmtId="49" fontId="0" fillId="0" borderId="1" xfId="0" applyNumberFormat="1" applyBorder="1" applyAlignment="1">
      <alignment horizontal="center" wrapText="1" shrinkToFit="1"/>
    </xf>
    <xf numFmtId="0" fontId="0" fillId="2" borderId="1" xfId="0" applyFill="1" applyBorder="1" applyAlignment="1">
      <alignment horizontal="center" wrapText="1" shrinkToFit="1"/>
    </xf>
    <xf numFmtId="0" fontId="0" fillId="0" borderId="1" xfId="0" applyBorder="1" applyAlignment="1">
      <alignment wrapText="1" shrinkToFit="1"/>
    </xf>
    <xf numFmtId="0" fontId="0" fillId="2" borderId="1" xfId="0" applyFill="1" applyBorder="1" applyAlignment="1">
      <alignment wrapText="1" shrinkToFit="1"/>
    </xf>
    <xf numFmtId="0" fontId="0" fillId="0" borderId="0" xfId="0" applyAlignment="1">
      <alignment wrapText="1"/>
    </xf>
    <xf numFmtId="2" fontId="3" fillId="2" borderId="1" xfId="0" applyNumberFormat="1" applyFont="1" applyFill="1" applyBorder="1" applyAlignment="1">
      <alignment horizontal="left" wrapText="1" shrinkToFit="1"/>
    </xf>
    <xf numFmtId="0" fontId="3" fillId="2" borderId="0" xfId="0" applyFont="1" applyFill="1" applyAlignment="1">
      <alignment horizontal="left" wrapText="1" shrinkToFit="1"/>
    </xf>
    <xf numFmtId="2" fontId="3" fillId="2" borderId="1" xfId="0" applyNumberFormat="1" applyFont="1" applyFill="1" applyBorder="1" applyAlignment="1">
      <alignment horizontal="center" wrapText="1" shrinkToFit="1"/>
    </xf>
    <xf numFmtId="2" fontId="2" fillId="2" borderId="1" xfId="0" applyNumberFormat="1" applyFont="1" applyFill="1" applyBorder="1" applyAlignment="1">
      <alignment horizontal="center" shrinkToFit="1"/>
    </xf>
    <xf numFmtId="0" fontId="0" fillId="0" borderId="1" xfId="0" applyBorder="1" applyAlignment="1">
      <alignment horizontal="center"/>
    </xf>
    <xf numFmtId="0" fontId="0" fillId="3" borderId="1" xfId="0" applyFill="1" applyBorder="1"/>
    <xf numFmtId="165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left" wrapText="1" shrinkToFit="1"/>
    </xf>
    <xf numFmtId="0" fontId="5" fillId="0" borderId="0" xfId="0" applyFont="1"/>
    <xf numFmtId="165" fontId="0" fillId="4" borderId="0" xfId="0" applyNumberFormat="1" applyFill="1"/>
    <xf numFmtId="164" fontId="0" fillId="0" borderId="0" xfId="1" applyFont="1"/>
    <xf numFmtId="164" fontId="1" fillId="0" borderId="0" xfId="1" applyFont="1"/>
    <xf numFmtId="0" fontId="0" fillId="4" borderId="0" xfId="0" applyFill="1" applyBorder="1"/>
    <xf numFmtId="2" fontId="0" fillId="4" borderId="0" xfId="0" applyNumberFormat="1" applyFill="1" applyBorder="1" applyAlignment="1">
      <alignment horizontal="center" shrinkToFit="1"/>
    </xf>
    <xf numFmtId="165" fontId="0" fillId="4" borderId="0" xfId="0" applyNumberFormat="1" applyFill="1" applyBorder="1" applyAlignment="1">
      <alignment horizontal="center"/>
    </xf>
    <xf numFmtId="165" fontId="0" fillId="4" borderId="0" xfId="0" applyNumberFormat="1" applyFill="1" applyBorder="1"/>
    <xf numFmtId="0" fontId="0" fillId="4" borderId="0" xfId="0" applyFill="1"/>
    <xf numFmtId="165" fontId="7" fillId="0" borderId="0" xfId="0" applyNumberFormat="1" applyFont="1"/>
    <xf numFmtId="0" fontId="7" fillId="0" borderId="0" xfId="0" applyFont="1"/>
    <xf numFmtId="165" fontId="5" fillId="0" borderId="1" xfId="0" applyNumberFormat="1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shrinkToFit="1"/>
    </xf>
    <xf numFmtId="2" fontId="1" fillId="2" borderId="1" xfId="0" applyNumberFormat="1" applyFont="1" applyFill="1" applyBorder="1" applyAlignment="1">
      <alignment vertical="center" shrinkToFit="1"/>
    </xf>
    <xf numFmtId="166" fontId="0" fillId="0" borderId="1" xfId="0" applyNumberFormat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6" fontId="0" fillId="0" borderId="1" xfId="0" applyNumberFormat="1" applyBorder="1"/>
    <xf numFmtId="166" fontId="0" fillId="2" borderId="1" xfId="0" applyNumberFormat="1" applyFill="1" applyBorder="1"/>
    <xf numFmtId="166" fontId="1" fillId="2" borderId="1" xfId="0" applyNumberFormat="1" applyFont="1" applyFill="1" applyBorder="1" applyAlignment="1">
      <alignment vertical="center"/>
    </xf>
    <xf numFmtId="166" fontId="0" fillId="4" borderId="0" xfId="0" applyNumberFormat="1" applyFill="1" applyBorder="1" applyAlignment="1">
      <alignment horizontal="center"/>
    </xf>
    <xf numFmtId="166" fontId="0" fillId="4" borderId="0" xfId="0" applyNumberFormat="1" applyFill="1" applyBorder="1"/>
    <xf numFmtId="166" fontId="0" fillId="0" borderId="0" xfId="0" applyNumberFormat="1"/>
    <xf numFmtId="166" fontId="1" fillId="2" borderId="1" xfId="0" applyNumberFormat="1" applyFont="1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166" fontId="0" fillId="0" borderId="1" xfId="0" applyNumberFormat="1" applyBorder="1" applyAlignment="1">
      <alignment vertical="center"/>
    </xf>
    <xf numFmtId="166" fontId="0" fillId="2" borderId="1" xfId="0" applyNumberFormat="1" applyFill="1" applyBorder="1" applyAlignment="1">
      <alignment vertical="center"/>
    </xf>
    <xf numFmtId="166" fontId="0" fillId="0" borderId="1" xfId="0" applyNumberFormat="1" applyBorder="1" applyAlignment="1">
      <alignment horizontal="center" vertical="center"/>
    </xf>
    <xf numFmtId="166" fontId="0" fillId="3" borderId="1" xfId="0" applyNumberFormat="1" applyFill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164" fontId="1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 shrinkToFit="1"/>
    </xf>
    <xf numFmtId="49" fontId="0" fillId="0" borderId="1" xfId="0" applyNumberFormat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 shrinkToFit="1"/>
    </xf>
    <xf numFmtId="0" fontId="0" fillId="0" borderId="1" xfId="0" applyBorder="1" applyAlignment="1">
      <alignment vertical="center" wrapText="1" shrinkToFit="1"/>
    </xf>
    <xf numFmtId="0" fontId="0" fillId="2" borderId="1" xfId="0" applyFill="1" applyBorder="1" applyAlignment="1">
      <alignment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workbookViewId="0">
      <selection activeCell="D2" sqref="D2"/>
    </sheetView>
  </sheetViews>
  <sheetFormatPr defaultRowHeight="12.75"/>
  <cols>
    <col min="1" max="1" width="3.28515625" customWidth="1"/>
    <col min="2" max="2" width="27.42578125" customWidth="1"/>
    <col min="3" max="3" width="10.5703125" customWidth="1"/>
    <col min="4" max="4" width="10" customWidth="1"/>
    <col min="5" max="5" width="10.28515625" customWidth="1"/>
    <col min="6" max="6" width="11" customWidth="1"/>
    <col min="7" max="7" width="11.28515625" customWidth="1"/>
    <col min="8" max="8" width="11.140625" customWidth="1"/>
    <col min="9" max="9" width="11.28515625" customWidth="1"/>
    <col min="10" max="10" width="11.42578125" customWidth="1"/>
    <col min="11" max="11" width="10.140625" bestFit="1" customWidth="1"/>
    <col min="12" max="12" width="10.5703125" customWidth="1"/>
    <col min="13" max="13" width="11.85546875" customWidth="1"/>
  </cols>
  <sheetData>
    <row r="1" spans="1:13">
      <c r="B1" s="12" t="s">
        <v>17</v>
      </c>
      <c r="D1" t="s">
        <v>40</v>
      </c>
      <c r="E1" s="11"/>
      <c r="G1" s="12"/>
    </row>
    <row r="2" spans="1:13" s="33" customFormat="1" ht="38.25">
      <c r="A2" s="27" t="s">
        <v>0</v>
      </c>
      <c r="B2" s="28" t="s">
        <v>1</v>
      </c>
      <c r="C2" s="29" t="s">
        <v>2</v>
      </c>
      <c r="D2" s="30" t="s">
        <v>3</v>
      </c>
      <c r="E2" s="31" t="s">
        <v>4</v>
      </c>
      <c r="F2" s="30" t="s">
        <v>5</v>
      </c>
      <c r="G2" s="30" t="s">
        <v>6</v>
      </c>
      <c r="H2" s="32" t="s">
        <v>7</v>
      </c>
      <c r="I2" s="31" t="s">
        <v>8</v>
      </c>
      <c r="J2" s="32" t="s">
        <v>9</v>
      </c>
      <c r="K2" s="28" t="s">
        <v>10</v>
      </c>
      <c r="L2" s="30" t="s">
        <v>11</v>
      </c>
    </row>
    <row r="3" spans="1:13">
      <c r="A3" s="1">
        <v>1</v>
      </c>
      <c r="B3" s="34" t="s">
        <v>19</v>
      </c>
      <c r="C3" s="8">
        <f>13410.36+63370</f>
        <v>76780.36</v>
      </c>
      <c r="D3" s="18">
        <f>C3</f>
        <v>76780.36</v>
      </c>
      <c r="E3" s="9">
        <f>10052.22+50418.23</f>
        <v>60470.450000000004</v>
      </c>
      <c r="F3" s="18">
        <f>E3</f>
        <v>60470.450000000004</v>
      </c>
      <c r="G3" s="18">
        <f>E3-C3</f>
        <v>-16309.909999999996</v>
      </c>
      <c r="H3" s="19">
        <f>F3-D3</f>
        <v>-16309.909999999996</v>
      </c>
      <c r="I3" s="9"/>
      <c r="J3" s="19">
        <f>I3</f>
        <v>0</v>
      </c>
      <c r="K3" s="8"/>
      <c r="L3" s="18">
        <f>K3</f>
        <v>0</v>
      </c>
    </row>
    <row r="4" spans="1:13">
      <c r="A4" s="1">
        <f>A3+1</f>
        <v>2</v>
      </c>
      <c r="B4" s="34" t="s">
        <v>13</v>
      </c>
      <c r="C4" s="8">
        <f>60464.33+286229.68</f>
        <v>346694.01</v>
      </c>
      <c r="D4" s="18">
        <f t="shared" ref="D4:D22" si="0">C4</f>
        <v>346694.01</v>
      </c>
      <c r="E4" s="9">
        <f>32055.18+182926.36</f>
        <v>214981.53999999998</v>
      </c>
      <c r="F4" s="18">
        <f t="shared" ref="F4:F22" si="1">E4</f>
        <v>214981.53999999998</v>
      </c>
      <c r="G4" s="18">
        <f t="shared" ref="G4:G22" si="2">E4-C4</f>
        <v>-131712.47000000003</v>
      </c>
      <c r="H4" s="19">
        <f t="shared" ref="H4:H22" si="3">F4-D4</f>
        <v>-131712.47000000003</v>
      </c>
      <c r="I4" s="9"/>
      <c r="J4" s="19">
        <f t="shared" ref="J4:J22" si="4">I4</f>
        <v>0</v>
      </c>
      <c r="K4" s="8"/>
      <c r="L4" s="18">
        <f t="shared" ref="L4:L22" si="5">K4</f>
        <v>0</v>
      </c>
      <c r="M4" s="24"/>
    </row>
    <row r="5" spans="1:13">
      <c r="A5" s="1">
        <f t="shared" ref="A5:A22" si="6">A4+1</f>
        <v>3</v>
      </c>
      <c r="B5" s="34" t="s">
        <v>15</v>
      </c>
      <c r="C5" s="8">
        <f>31516.38+125485.39</f>
        <v>157001.76999999999</v>
      </c>
      <c r="D5" s="18">
        <f t="shared" si="0"/>
        <v>157001.76999999999</v>
      </c>
      <c r="E5" s="9">
        <f>19644.72+116902.05</f>
        <v>136546.77000000002</v>
      </c>
      <c r="F5" s="18">
        <f t="shared" si="1"/>
        <v>136546.77000000002</v>
      </c>
      <c r="G5" s="18">
        <f t="shared" si="2"/>
        <v>-20454.999999999971</v>
      </c>
      <c r="H5" s="19">
        <f t="shared" si="3"/>
        <v>-20454.999999999971</v>
      </c>
      <c r="I5" s="9"/>
      <c r="J5" s="19">
        <f t="shared" si="4"/>
        <v>0</v>
      </c>
      <c r="K5" s="8"/>
      <c r="L5" s="18">
        <f t="shared" si="5"/>
        <v>0</v>
      </c>
    </row>
    <row r="6" spans="1:13">
      <c r="A6" s="1">
        <f t="shared" si="6"/>
        <v>4</v>
      </c>
      <c r="B6" s="34" t="s">
        <v>20</v>
      </c>
      <c r="C6" s="8">
        <f>495.88+2344.1</f>
        <v>2839.98</v>
      </c>
      <c r="D6" s="18">
        <f t="shared" si="0"/>
        <v>2839.98</v>
      </c>
      <c r="E6" s="9">
        <f>374.95+1879.63</f>
        <v>2254.58</v>
      </c>
      <c r="F6" s="18">
        <f t="shared" si="1"/>
        <v>2254.58</v>
      </c>
      <c r="G6" s="18">
        <f t="shared" si="2"/>
        <v>-585.40000000000009</v>
      </c>
      <c r="H6" s="19">
        <f t="shared" si="3"/>
        <v>-585.40000000000009</v>
      </c>
      <c r="I6" s="9"/>
      <c r="J6" s="19">
        <f t="shared" si="4"/>
        <v>0</v>
      </c>
      <c r="K6" s="8"/>
      <c r="L6" s="18">
        <f t="shared" si="5"/>
        <v>0</v>
      </c>
    </row>
    <row r="7" spans="1:13">
      <c r="A7" s="1">
        <f t="shared" si="6"/>
        <v>5</v>
      </c>
      <c r="B7" s="35" t="s">
        <v>21</v>
      </c>
      <c r="C7" s="8">
        <f>3324.43+15537.33</f>
        <v>18861.759999999998</v>
      </c>
      <c r="D7" s="18">
        <f t="shared" si="0"/>
        <v>18861.759999999998</v>
      </c>
      <c r="E7" s="9">
        <f>2553.78+12998.12</f>
        <v>15551.900000000001</v>
      </c>
      <c r="F7" s="18">
        <f t="shared" si="1"/>
        <v>15551.900000000001</v>
      </c>
      <c r="G7" s="18">
        <f t="shared" si="2"/>
        <v>-3309.8599999999969</v>
      </c>
      <c r="H7" s="19">
        <f t="shared" si="3"/>
        <v>-3309.8599999999969</v>
      </c>
      <c r="I7" s="9"/>
      <c r="J7" s="19">
        <f t="shared" si="4"/>
        <v>0</v>
      </c>
      <c r="K7" s="8"/>
      <c r="L7" s="18">
        <f t="shared" si="5"/>
        <v>0</v>
      </c>
    </row>
    <row r="8" spans="1:13">
      <c r="A8" s="1">
        <f t="shared" si="6"/>
        <v>6</v>
      </c>
      <c r="B8" s="34" t="s">
        <v>22</v>
      </c>
      <c r="C8" s="8">
        <f>1600.22+7244.62</f>
        <v>8844.84</v>
      </c>
      <c r="D8" s="18">
        <f t="shared" si="0"/>
        <v>8844.84</v>
      </c>
      <c r="E8" s="9">
        <f>1205.58+5858.81</f>
        <v>7064.39</v>
      </c>
      <c r="F8" s="18">
        <f t="shared" si="1"/>
        <v>7064.39</v>
      </c>
      <c r="G8" s="18">
        <f t="shared" si="2"/>
        <v>-1780.4499999999998</v>
      </c>
      <c r="H8" s="19">
        <f t="shared" si="3"/>
        <v>-1780.4499999999998</v>
      </c>
      <c r="I8" s="9"/>
      <c r="J8" s="19">
        <f t="shared" si="4"/>
        <v>0</v>
      </c>
      <c r="K8" s="8"/>
      <c r="L8" s="18">
        <f t="shared" si="5"/>
        <v>0</v>
      </c>
    </row>
    <row r="9" spans="1:13">
      <c r="A9" s="1">
        <f t="shared" si="6"/>
        <v>7</v>
      </c>
      <c r="B9" s="34" t="s">
        <v>23</v>
      </c>
      <c r="C9" s="8">
        <f>2062.29+9743.95</f>
        <v>11806.240000000002</v>
      </c>
      <c r="D9" s="18">
        <f t="shared" si="0"/>
        <v>11806.240000000002</v>
      </c>
      <c r="E9" s="9">
        <f>1538.68+7709.85</f>
        <v>9248.5300000000007</v>
      </c>
      <c r="F9" s="18">
        <f t="shared" si="1"/>
        <v>9248.5300000000007</v>
      </c>
      <c r="G9" s="18">
        <f t="shared" si="2"/>
        <v>-2557.7100000000009</v>
      </c>
      <c r="H9" s="19">
        <f t="shared" si="3"/>
        <v>-2557.7100000000009</v>
      </c>
      <c r="I9" s="9"/>
      <c r="J9" s="19">
        <f t="shared" si="4"/>
        <v>0</v>
      </c>
      <c r="K9" s="8"/>
      <c r="L9" s="18">
        <f t="shared" si="5"/>
        <v>0</v>
      </c>
    </row>
    <row r="10" spans="1:13">
      <c r="A10" s="1">
        <f t="shared" si="6"/>
        <v>8</v>
      </c>
      <c r="B10" s="34" t="s">
        <v>16</v>
      </c>
      <c r="C10" s="8">
        <f>12349.12+48372.61</f>
        <v>60721.73</v>
      </c>
      <c r="D10" s="18">
        <f t="shared" si="0"/>
        <v>60721.73</v>
      </c>
      <c r="E10" s="9">
        <f>7731.85+45036.17</f>
        <v>52768.02</v>
      </c>
      <c r="F10" s="18">
        <f t="shared" si="1"/>
        <v>52768.02</v>
      </c>
      <c r="G10" s="18">
        <f t="shared" si="2"/>
        <v>-7953.7100000000064</v>
      </c>
      <c r="H10" s="19">
        <f t="shared" si="3"/>
        <v>-7953.7100000000064</v>
      </c>
      <c r="I10" s="9"/>
      <c r="J10" s="19">
        <f t="shared" si="4"/>
        <v>0</v>
      </c>
      <c r="K10" s="8"/>
      <c r="L10" s="18">
        <f t="shared" si="5"/>
        <v>0</v>
      </c>
    </row>
    <row r="11" spans="1:13">
      <c r="A11" s="1">
        <f t="shared" si="6"/>
        <v>9</v>
      </c>
      <c r="B11" s="34" t="s">
        <v>24</v>
      </c>
      <c r="C11" s="8">
        <v>0</v>
      </c>
      <c r="D11" s="18">
        <f t="shared" si="0"/>
        <v>0</v>
      </c>
      <c r="E11" s="9">
        <v>0</v>
      </c>
      <c r="F11" s="18">
        <f t="shared" si="1"/>
        <v>0</v>
      </c>
      <c r="G11" s="18">
        <f t="shared" si="2"/>
        <v>0</v>
      </c>
      <c r="H11" s="19">
        <f t="shared" si="3"/>
        <v>0</v>
      </c>
      <c r="I11" s="9"/>
      <c r="J11" s="19">
        <f t="shared" si="4"/>
        <v>0</v>
      </c>
      <c r="K11" s="8"/>
      <c r="L11" s="18">
        <f t="shared" si="5"/>
        <v>0</v>
      </c>
      <c r="M11" s="24"/>
    </row>
    <row r="12" spans="1:13">
      <c r="A12" s="1">
        <f t="shared" si="6"/>
        <v>10</v>
      </c>
      <c r="B12" s="34" t="s">
        <v>25</v>
      </c>
      <c r="C12" s="8">
        <v>0</v>
      </c>
      <c r="D12" s="18">
        <f t="shared" si="0"/>
        <v>0</v>
      </c>
      <c r="E12" s="9">
        <v>0</v>
      </c>
      <c r="F12" s="18">
        <f t="shared" si="1"/>
        <v>0</v>
      </c>
      <c r="G12" s="18">
        <f t="shared" si="2"/>
        <v>0</v>
      </c>
      <c r="H12" s="19">
        <f t="shared" si="3"/>
        <v>0</v>
      </c>
      <c r="I12" s="9"/>
      <c r="J12" s="19">
        <f t="shared" si="4"/>
        <v>0</v>
      </c>
      <c r="K12" s="8"/>
      <c r="L12" s="18">
        <f t="shared" si="5"/>
        <v>0</v>
      </c>
    </row>
    <row r="13" spans="1:13">
      <c r="A13" s="1">
        <f t="shared" si="6"/>
        <v>11</v>
      </c>
      <c r="B13" s="34" t="s">
        <v>26</v>
      </c>
      <c r="C13" s="8">
        <f>6998.18+33070.9</f>
        <v>40069.08</v>
      </c>
      <c r="D13" s="18">
        <f t="shared" si="0"/>
        <v>40069.08</v>
      </c>
      <c r="E13" s="9">
        <f>5250.5+26503.44</f>
        <v>31753.94</v>
      </c>
      <c r="F13" s="18">
        <f t="shared" si="1"/>
        <v>31753.94</v>
      </c>
      <c r="G13" s="18">
        <f t="shared" si="2"/>
        <v>-8315.1400000000031</v>
      </c>
      <c r="H13" s="19">
        <f t="shared" si="3"/>
        <v>-8315.1400000000031</v>
      </c>
      <c r="I13" s="9"/>
      <c r="J13" s="19">
        <f t="shared" si="4"/>
        <v>0</v>
      </c>
      <c r="K13" s="8"/>
      <c r="L13" s="18">
        <f t="shared" si="5"/>
        <v>0</v>
      </c>
    </row>
    <row r="14" spans="1:13">
      <c r="A14" s="1">
        <f t="shared" si="6"/>
        <v>12</v>
      </c>
      <c r="B14" s="34" t="s">
        <v>27</v>
      </c>
      <c r="C14" s="8">
        <f>2896.22+13668.94</f>
        <v>16565.16</v>
      </c>
      <c r="D14" s="18">
        <f t="shared" si="0"/>
        <v>16565.16</v>
      </c>
      <c r="E14" s="9">
        <f>2128.26+10813.63</f>
        <v>12941.89</v>
      </c>
      <c r="F14" s="18">
        <f t="shared" si="1"/>
        <v>12941.89</v>
      </c>
      <c r="G14" s="18">
        <f t="shared" si="2"/>
        <v>-3623.2700000000004</v>
      </c>
      <c r="H14" s="19">
        <f t="shared" si="3"/>
        <v>-3623.2700000000004</v>
      </c>
      <c r="I14" s="9"/>
      <c r="J14" s="19">
        <f t="shared" si="4"/>
        <v>0</v>
      </c>
      <c r="K14" s="8"/>
      <c r="L14" s="18">
        <f t="shared" si="5"/>
        <v>0</v>
      </c>
    </row>
    <row r="15" spans="1:13">
      <c r="A15" s="1">
        <f t="shared" si="6"/>
        <v>13</v>
      </c>
      <c r="B15" s="34" t="s">
        <v>28</v>
      </c>
      <c r="C15" s="8">
        <f>21107.57+83232.85</f>
        <v>104340.42000000001</v>
      </c>
      <c r="D15" s="18">
        <f t="shared" si="0"/>
        <v>104340.42000000001</v>
      </c>
      <c r="E15" s="9">
        <f>13230.41+77248.79</f>
        <v>90479.2</v>
      </c>
      <c r="F15" s="18">
        <f t="shared" si="1"/>
        <v>90479.2</v>
      </c>
      <c r="G15" s="18">
        <f t="shared" si="2"/>
        <v>-13861.220000000016</v>
      </c>
      <c r="H15" s="19">
        <f t="shared" si="3"/>
        <v>-13861.220000000016</v>
      </c>
      <c r="I15" s="9"/>
      <c r="J15" s="19">
        <f t="shared" si="4"/>
        <v>0</v>
      </c>
      <c r="K15" s="8"/>
      <c r="L15" s="18">
        <f t="shared" si="5"/>
        <v>0</v>
      </c>
    </row>
    <row r="16" spans="1:13" ht="15" customHeight="1">
      <c r="A16" s="1">
        <f t="shared" si="6"/>
        <v>14</v>
      </c>
      <c r="B16" s="34" t="s">
        <v>29</v>
      </c>
      <c r="C16" s="8">
        <f>1108.46+5247.78+525.76</f>
        <v>6882</v>
      </c>
      <c r="D16" s="18">
        <f t="shared" si="0"/>
        <v>6882</v>
      </c>
      <c r="E16" s="9">
        <f>832.93+4413.07+948.47</f>
        <v>6194.47</v>
      </c>
      <c r="F16" s="18">
        <f t="shared" si="1"/>
        <v>6194.47</v>
      </c>
      <c r="G16" s="18">
        <f t="shared" si="2"/>
        <v>-687.52999999999975</v>
      </c>
      <c r="H16" s="19">
        <f t="shared" si="3"/>
        <v>-687.52999999999975</v>
      </c>
      <c r="I16" s="9"/>
      <c r="J16" s="19">
        <f t="shared" si="4"/>
        <v>0</v>
      </c>
      <c r="K16" s="8"/>
      <c r="L16" s="18">
        <f t="shared" si="5"/>
        <v>0</v>
      </c>
    </row>
    <row r="17" spans="1:12">
      <c r="A17" s="1">
        <f t="shared" si="6"/>
        <v>15</v>
      </c>
      <c r="B17" s="34" t="s">
        <v>30</v>
      </c>
      <c r="C17" s="8">
        <f>743.75+3515.82</f>
        <v>4259.57</v>
      </c>
      <c r="D17" s="18">
        <f t="shared" si="0"/>
        <v>4259.57</v>
      </c>
      <c r="E17" s="9">
        <f>560.25+2824</f>
        <v>3384.25</v>
      </c>
      <c r="F17" s="18">
        <f t="shared" si="1"/>
        <v>3384.25</v>
      </c>
      <c r="G17" s="18">
        <f t="shared" si="2"/>
        <v>-875.31999999999971</v>
      </c>
      <c r="H17" s="19">
        <f t="shared" si="3"/>
        <v>-875.31999999999971</v>
      </c>
      <c r="I17" s="9"/>
      <c r="J17" s="19">
        <f t="shared" si="4"/>
        <v>0</v>
      </c>
      <c r="K17" s="8"/>
      <c r="L17" s="18">
        <f t="shared" si="5"/>
        <v>0</v>
      </c>
    </row>
    <row r="18" spans="1:12">
      <c r="A18" s="1">
        <f t="shared" si="6"/>
        <v>16</v>
      </c>
      <c r="B18" s="36" t="s">
        <v>31</v>
      </c>
      <c r="C18" s="8">
        <v>0</v>
      </c>
      <c r="D18" s="18">
        <f t="shared" si="0"/>
        <v>0</v>
      </c>
      <c r="E18" s="9">
        <v>0</v>
      </c>
      <c r="F18" s="18">
        <f t="shared" si="1"/>
        <v>0</v>
      </c>
      <c r="G18" s="18">
        <f t="shared" si="2"/>
        <v>0</v>
      </c>
      <c r="H18" s="19">
        <f t="shared" si="3"/>
        <v>0</v>
      </c>
      <c r="I18" s="9"/>
      <c r="J18" s="19">
        <f t="shared" si="4"/>
        <v>0</v>
      </c>
      <c r="K18" s="8"/>
      <c r="L18" s="18">
        <f t="shared" si="5"/>
        <v>0</v>
      </c>
    </row>
    <row r="19" spans="1:12">
      <c r="A19" s="1">
        <f t="shared" si="6"/>
        <v>17</v>
      </c>
      <c r="B19" s="36" t="s">
        <v>32</v>
      </c>
      <c r="C19" s="8">
        <v>0</v>
      </c>
      <c r="D19" s="18">
        <f t="shared" si="0"/>
        <v>0</v>
      </c>
      <c r="E19" s="9">
        <v>245.89</v>
      </c>
      <c r="F19" s="18">
        <f t="shared" si="1"/>
        <v>245.89</v>
      </c>
      <c r="G19" s="18">
        <f t="shared" si="2"/>
        <v>245.89</v>
      </c>
      <c r="H19" s="19">
        <f t="shared" si="3"/>
        <v>245.89</v>
      </c>
      <c r="I19" s="9"/>
      <c r="J19" s="19">
        <f t="shared" si="4"/>
        <v>0</v>
      </c>
      <c r="K19" s="8"/>
      <c r="L19" s="18">
        <f t="shared" si="5"/>
        <v>0</v>
      </c>
    </row>
    <row r="20" spans="1:12">
      <c r="A20" s="1">
        <f t="shared" si="6"/>
        <v>18</v>
      </c>
      <c r="B20" s="36" t="s">
        <v>33</v>
      </c>
      <c r="C20" s="8">
        <f>843.06+3997.36</f>
        <v>4840.42</v>
      </c>
      <c r="D20" s="18">
        <f t="shared" si="0"/>
        <v>4840.42</v>
      </c>
      <c r="E20" s="9">
        <f>634.44+3241.54</f>
        <v>3875.98</v>
      </c>
      <c r="F20" s="18">
        <f t="shared" si="1"/>
        <v>3875.98</v>
      </c>
      <c r="G20" s="18">
        <f t="shared" si="2"/>
        <v>-964.44</v>
      </c>
      <c r="H20" s="19">
        <f t="shared" si="3"/>
        <v>-964.44</v>
      </c>
      <c r="I20" s="9"/>
      <c r="J20" s="19">
        <f t="shared" si="4"/>
        <v>0</v>
      </c>
      <c r="K20" s="8"/>
      <c r="L20" s="18">
        <f t="shared" si="5"/>
        <v>0</v>
      </c>
    </row>
    <row r="21" spans="1:12" ht="15" customHeight="1">
      <c r="A21" s="1">
        <f t="shared" si="6"/>
        <v>19</v>
      </c>
      <c r="B21" s="36" t="s">
        <v>38</v>
      </c>
      <c r="C21" s="8">
        <f>378.8+1814.39</f>
        <v>2193.19</v>
      </c>
      <c r="D21" s="18">
        <f t="shared" si="0"/>
        <v>2193.19</v>
      </c>
      <c r="E21" s="9">
        <f>293.45+1464.41</f>
        <v>1757.8600000000001</v>
      </c>
      <c r="F21" s="18">
        <f t="shared" si="1"/>
        <v>1757.8600000000001</v>
      </c>
      <c r="G21" s="18">
        <f t="shared" si="2"/>
        <v>-435.32999999999993</v>
      </c>
      <c r="H21" s="19">
        <f t="shared" si="3"/>
        <v>-435.32999999999993</v>
      </c>
      <c r="I21" s="9"/>
      <c r="J21" s="19">
        <f t="shared" si="4"/>
        <v>0</v>
      </c>
      <c r="K21" s="8"/>
      <c r="L21" s="18">
        <f t="shared" si="5"/>
        <v>0</v>
      </c>
    </row>
    <row r="22" spans="1:12">
      <c r="A22" s="1">
        <f t="shared" si="6"/>
        <v>20</v>
      </c>
      <c r="B22" s="34"/>
      <c r="C22" s="8"/>
      <c r="D22" s="18">
        <f t="shared" si="0"/>
        <v>0</v>
      </c>
      <c r="E22" s="9"/>
      <c r="F22" s="18">
        <f t="shared" si="1"/>
        <v>0</v>
      </c>
      <c r="G22" s="18">
        <f t="shared" si="2"/>
        <v>0</v>
      </c>
      <c r="H22" s="19">
        <f t="shared" si="3"/>
        <v>0</v>
      </c>
      <c r="I22" s="9"/>
      <c r="J22" s="19">
        <f t="shared" si="4"/>
        <v>0</v>
      </c>
      <c r="K22" s="8"/>
      <c r="L22" s="18">
        <f t="shared" si="5"/>
        <v>0</v>
      </c>
    </row>
    <row r="23" spans="1:12">
      <c r="A23" s="21"/>
      <c r="B23" s="25" t="s">
        <v>12</v>
      </c>
      <c r="C23" s="22">
        <f t="shared" ref="C23:L23" si="7">SUM(C3:C22)</f>
        <v>862700.52999999991</v>
      </c>
      <c r="D23" s="22">
        <f t="shared" si="7"/>
        <v>862700.52999999991</v>
      </c>
      <c r="E23" s="23">
        <f t="shared" si="7"/>
        <v>649519.66</v>
      </c>
      <c r="F23" s="22">
        <f t="shared" si="7"/>
        <v>649519.66</v>
      </c>
      <c r="G23" s="22">
        <f t="shared" si="7"/>
        <v>-213180.87</v>
      </c>
      <c r="H23" s="23">
        <f t="shared" si="7"/>
        <v>-213180.87</v>
      </c>
      <c r="I23" s="23">
        <f t="shared" si="7"/>
        <v>0</v>
      </c>
      <c r="J23" s="23">
        <f t="shared" si="7"/>
        <v>0</v>
      </c>
      <c r="K23" s="22">
        <f t="shared" si="7"/>
        <v>0</v>
      </c>
      <c r="L23" s="22">
        <f t="shared" si="7"/>
        <v>0</v>
      </c>
    </row>
    <row r="25" spans="1:12" ht="1.5" customHeight="1"/>
    <row r="26" spans="1:12" hidden="1"/>
    <row r="27" spans="1:12" hidden="1"/>
    <row r="28" spans="1:12">
      <c r="B28" s="39" t="s">
        <v>35</v>
      </c>
      <c r="C28" s="40">
        <f>C10+C11+C12+C15+C18+C21</f>
        <v>167255.34000000003</v>
      </c>
      <c r="D28" s="40">
        <f t="shared" ref="D28:J28" si="8">D10+D11+D12+D15+D18+D21</f>
        <v>167255.34000000003</v>
      </c>
      <c r="E28" s="40">
        <f t="shared" si="8"/>
        <v>145005.07999999999</v>
      </c>
      <c r="F28" s="40">
        <f t="shared" si="8"/>
        <v>145005.07999999999</v>
      </c>
      <c r="G28" s="40">
        <f t="shared" si="8"/>
        <v>-22250.260000000024</v>
      </c>
      <c r="H28" s="40">
        <f t="shared" si="8"/>
        <v>-22250.260000000024</v>
      </c>
      <c r="I28" s="40">
        <f t="shared" si="8"/>
        <v>0</v>
      </c>
      <c r="J28" s="40">
        <f t="shared" si="8"/>
        <v>0</v>
      </c>
    </row>
    <row r="29" spans="1:12">
      <c r="B29" s="39" t="s">
        <v>36</v>
      </c>
      <c r="C29" s="40">
        <f>C16</f>
        <v>6882</v>
      </c>
      <c r="D29" s="40">
        <f t="shared" ref="D29:J29" si="9">D16</f>
        <v>6882</v>
      </c>
      <c r="E29" s="40">
        <f t="shared" si="9"/>
        <v>6194.47</v>
      </c>
      <c r="F29" s="40">
        <f t="shared" si="9"/>
        <v>6194.47</v>
      </c>
      <c r="G29" s="40">
        <f t="shared" si="9"/>
        <v>-687.52999999999975</v>
      </c>
      <c r="H29" s="40">
        <f t="shared" si="9"/>
        <v>-687.52999999999975</v>
      </c>
      <c r="I29" s="40">
        <f t="shared" si="9"/>
        <v>0</v>
      </c>
      <c r="J29" s="40">
        <f t="shared" si="9"/>
        <v>0</v>
      </c>
    </row>
    <row r="30" spans="1:12">
      <c r="B30" s="39" t="s">
        <v>37</v>
      </c>
      <c r="C30" s="40">
        <f>C4+C5+C19+C20</f>
        <v>508536.2</v>
      </c>
      <c r="D30" s="40">
        <f t="shared" ref="D30:J30" si="10">D4+D5+D19+D20</f>
        <v>508536.2</v>
      </c>
      <c r="E30" s="40">
        <f t="shared" si="10"/>
        <v>355650.18</v>
      </c>
      <c r="F30" s="40">
        <f t="shared" si="10"/>
        <v>355650.18</v>
      </c>
      <c r="G30" s="40">
        <f t="shared" si="10"/>
        <v>-152886.01999999999</v>
      </c>
      <c r="H30" s="40">
        <f t="shared" si="10"/>
        <v>-152886.01999999999</v>
      </c>
      <c r="I30" s="40">
        <f t="shared" si="10"/>
        <v>0</v>
      </c>
      <c r="J30" s="40">
        <f t="shared" si="10"/>
        <v>0</v>
      </c>
    </row>
    <row r="32" spans="1:12">
      <c r="C32">
        <f>159299.05+703401.48</f>
        <v>862700.53</v>
      </c>
      <c r="E32">
        <f>98087.2+551432.46</f>
        <v>649519.65999999992</v>
      </c>
    </row>
    <row r="33" spans="3:5">
      <c r="C33" s="24"/>
      <c r="E33" s="24"/>
    </row>
  </sheetData>
  <phoneticPr fontId="0" type="noConversion"/>
  <pageMargins left="0" right="0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36"/>
  <sheetViews>
    <sheetView workbookViewId="0">
      <selection activeCell="G40" sqref="G40"/>
    </sheetView>
  </sheetViews>
  <sheetFormatPr defaultRowHeight="12.75"/>
  <cols>
    <col min="1" max="1" width="3.140625" customWidth="1"/>
    <col min="2" max="2" width="28.140625" customWidth="1"/>
    <col min="3" max="3" width="10.140625" bestFit="1" customWidth="1"/>
    <col min="4" max="4" width="13.7109375" customWidth="1"/>
    <col min="5" max="5" width="11.28515625" customWidth="1"/>
    <col min="6" max="6" width="12.42578125" customWidth="1"/>
    <col min="7" max="7" width="10.42578125" customWidth="1"/>
    <col min="8" max="8" width="12.42578125" customWidth="1"/>
    <col min="9" max="9" width="10.140625" bestFit="1" customWidth="1"/>
    <col min="10" max="10" width="12.42578125" customWidth="1"/>
    <col min="11" max="11" width="9.28515625" bestFit="1" customWidth="1"/>
    <col min="12" max="12" width="11.85546875" customWidth="1"/>
    <col min="13" max="13" width="10.140625" bestFit="1" customWidth="1"/>
  </cols>
  <sheetData>
    <row r="1" spans="1:13" ht="19.5" customHeight="1">
      <c r="B1" s="11" t="s">
        <v>49</v>
      </c>
    </row>
    <row r="2" spans="1:13" s="33" customFormat="1" ht="38.25">
      <c r="A2" s="27" t="s">
        <v>0</v>
      </c>
      <c r="B2" s="28" t="s">
        <v>1</v>
      </c>
      <c r="C2" s="29" t="s">
        <v>2</v>
      </c>
      <c r="D2" s="30" t="s">
        <v>3</v>
      </c>
      <c r="E2" s="31" t="s">
        <v>4</v>
      </c>
      <c r="F2" s="30" t="s">
        <v>5</v>
      </c>
      <c r="G2" s="30" t="s">
        <v>6</v>
      </c>
      <c r="H2" s="32" t="s">
        <v>7</v>
      </c>
      <c r="I2" s="31" t="s">
        <v>8</v>
      </c>
      <c r="J2" s="32" t="s">
        <v>9</v>
      </c>
      <c r="K2" s="28" t="s">
        <v>10</v>
      </c>
      <c r="L2" s="30" t="s">
        <v>11</v>
      </c>
    </row>
    <row r="3" spans="1:13" ht="12.95" customHeight="1">
      <c r="A3" s="1">
        <v>1</v>
      </c>
      <c r="B3" s="34" t="str">
        <f>сентябрь!B3</f>
        <v>Содержание общ.имущ.дома</v>
      </c>
      <c r="C3" s="8">
        <f>13286.79+66597.42</f>
        <v>79884.209999999992</v>
      </c>
      <c r="D3" s="18">
        <f>C3+сентябрь!D3</f>
        <v>771600.91999999993</v>
      </c>
      <c r="E3" s="9">
        <f>10517.43+60816.49</f>
        <v>71333.919999999998</v>
      </c>
      <c r="F3" s="18">
        <f>E3+сентябрь!F3</f>
        <v>739974.01000000013</v>
      </c>
      <c r="G3" s="18">
        <f>E3-C3</f>
        <v>-8550.2899999999936</v>
      </c>
      <c r="H3" s="19">
        <f>F3-D3</f>
        <v>-31626.9099999998</v>
      </c>
      <c r="I3" s="9"/>
      <c r="J3" s="19">
        <f>I3+сентябрь!J3</f>
        <v>0</v>
      </c>
      <c r="K3" s="8"/>
      <c r="L3" s="18">
        <f>K3+сентябрь!L3</f>
        <v>0</v>
      </c>
    </row>
    <row r="4" spans="1:13" ht="12.95" customHeight="1">
      <c r="A4" s="1">
        <f>A3+1</f>
        <v>2</v>
      </c>
      <c r="B4" s="34" t="str">
        <f>сентябрь!B4</f>
        <v>Отопление</v>
      </c>
      <c r="C4" s="8">
        <f>40058.81+200786.79</f>
        <v>240845.6</v>
      </c>
      <c r="D4" s="18">
        <f>C4+сентябрь!D4</f>
        <v>1637051.57</v>
      </c>
      <c r="E4" s="9">
        <f>4794.78+16317.84</f>
        <v>21112.62</v>
      </c>
      <c r="F4" s="18">
        <f>E4+сентябрь!F4</f>
        <v>1744315.0999999999</v>
      </c>
      <c r="G4" s="18">
        <f t="shared" ref="G4:H22" si="0">E4-C4</f>
        <v>-219732.98</v>
      </c>
      <c r="H4" s="19">
        <f t="shared" si="0"/>
        <v>107263.5299999998</v>
      </c>
      <c r="I4" s="9"/>
      <c r="J4" s="19">
        <f>I4+сентябрь!J4</f>
        <v>0</v>
      </c>
      <c r="K4" s="8"/>
      <c r="L4" s="18">
        <f>K4+сентябрь!L4</f>
        <v>0</v>
      </c>
      <c r="M4" s="24">
        <f>L4-J4</f>
        <v>0</v>
      </c>
    </row>
    <row r="5" spans="1:13" ht="12.95" customHeight="1">
      <c r="A5" s="1">
        <f t="shared" ref="A5:A22" si="1">A4+1</f>
        <v>3</v>
      </c>
      <c r="B5" s="34" t="str">
        <f>сентябрь!B5</f>
        <v>Горячее водоснабжение</v>
      </c>
      <c r="C5" s="8">
        <f>30779.74+124093.15</f>
        <v>154872.88999999998</v>
      </c>
      <c r="D5" s="18">
        <f>C5+сентябрь!D5</f>
        <v>1584177.6199999999</v>
      </c>
      <c r="E5" s="9">
        <f>26709.37+108741.44</f>
        <v>135450.81</v>
      </c>
      <c r="F5" s="18">
        <f>E5+сентябрь!F5</f>
        <v>1492875.7100000002</v>
      </c>
      <c r="G5" s="18">
        <f t="shared" si="0"/>
        <v>-19422.079999999987</v>
      </c>
      <c r="H5" s="19">
        <f t="shared" si="0"/>
        <v>-91301.909999999683</v>
      </c>
      <c r="I5" s="9"/>
      <c r="J5" s="19">
        <f>I5+сентябрь!J5</f>
        <v>0</v>
      </c>
      <c r="K5" s="8"/>
      <c r="L5" s="18">
        <f>K5+сентябрь!L5</f>
        <v>0</v>
      </c>
    </row>
    <row r="6" spans="1:13" ht="12.95" customHeight="1">
      <c r="A6" s="1">
        <f t="shared" si="1"/>
        <v>4</v>
      </c>
      <c r="B6" s="34" t="str">
        <f>сентябрь!B6</f>
        <v>Сод.и ремонт АППЗ</v>
      </c>
      <c r="C6" s="8">
        <f>469.6+2353.62</f>
        <v>2823.22</v>
      </c>
      <c r="D6" s="18">
        <f>C6+сентябрь!D6</f>
        <v>28037.030000000002</v>
      </c>
      <c r="E6" s="9">
        <f>372.42+2155.7</f>
        <v>2528.12</v>
      </c>
      <c r="F6" s="18">
        <f>E6+сентябрь!F6</f>
        <v>27228.55</v>
      </c>
      <c r="G6" s="18">
        <f t="shared" si="0"/>
        <v>-295.09999999999991</v>
      </c>
      <c r="H6" s="19">
        <f t="shared" si="0"/>
        <v>-808.4800000000032</v>
      </c>
      <c r="I6" s="9"/>
      <c r="J6" s="19">
        <f>I6+сентябрь!J6</f>
        <v>0</v>
      </c>
      <c r="K6" s="8"/>
      <c r="L6" s="18">
        <f>K6+сентябрь!L6</f>
        <v>0</v>
      </c>
    </row>
    <row r="7" spans="1:13" ht="12.95" customHeight="1">
      <c r="A7" s="1">
        <f t="shared" si="1"/>
        <v>5</v>
      </c>
      <c r="B7" s="34" t="str">
        <f>сентябрь!B7</f>
        <v>Сод.и ремонт лифтов</v>
      </c>
      <c r="C7" s="8">
        <f>3148.28+15577.77</f>
        <v>18726.05</v>
      </c>
      <c r="D7" s="18">
        <f>C7+сентябрь!D7</f>
        <v>185882.36</v>
      </c>
      <c r="E7" s="9">
        <f>2958.57+14319.44</f>
        <v>17278.010000000002</v>
      </c>
      <c r="F7" s="18">
        <f>E7+сентябрь!F7</f>
        <v>183400.48</v>
      </c>
      <c r="G7" s="18">
        <f t="shared" si="0"/>
        <v>-1448.0399999999972</v>
      </c>
      <c r="H7" s="19">
        <f t="shared" si="0"/>
        <v>-2481.8799999999756</v>
      </c>
      <c r="I7" s="9"/>
      <c r="J7" s="19">
        <f>I7+сентябрь!J7</f>
        <v>0</v>
      </c>
      <c r="K7" s="8"/>
      <c r="L7" s="18">
        <f>K7+сентябрь!L7</f>
        <v>0</v>
      </c>
    </row>
    <row r="8" spans="1:13" ht="12.95" customHeight="1">
      <c r="A8" s="1">
        <f t="shared" si="1"/>
        <v>6</v>
      </c>
      <c r="B8" s="34" t="str">
        <f>сентябрь!B8</f>
        <v>Очистка мусоропроводов</v>
      </c>
      <c r="C8" s="8">
        <f>1696.86+8147.62</f>
        <v>9844.48</v>
      </c>
      <c r="D8" s="18">
        <f>C8+сентябрь!D8</f>
        <v>91563.689999999988</v>
      </c>
      <c r="E8" s="9">
        <f>1339.5+7376.06</f>
        <v>8715.5600000000013</v>
      </c>
      <c r="F8" s="18">
        <f>E8+сентябрь!F8</f>
        <v>87423.51999999999</v>
      </c>
      <c r="G8" s="18">
        <f t="shared" si="0"/>
        <v>-1128.9199999999983</v>
      </c>
      <c r="H8" s="19">
        <f t="shared" si="0"/>
        <v>-4140.1699999999983</v>
      </c>
      <c r="I8" s="9"/>
      <c r="J8" s="19">
        <f>I8+сентябрь!J8</f>
        <v>0</v>
      </c>
      <c r="K8" s="8"/>
      <c r="L8" s="18">
        <f>K8+сентябрь!L8</f>
        <v>0</v>
      </c>
    </row>
    <row r="9" spans="1:13" ht="12.95" customHeight="1">
      <c r="A9" s="1">
        <f t="shared" si="1"/>
        <v>7</v>
      </c>
      <c r="B9" s="34" t="str">
        <f>сентябрь!B9</f>
        <v>Уборка и сан.очистка зем.уч.</v>
      </c>
      <c r="C9" s="8">
        <f>2006.36+10056.43</f>
        <v>12062.79</v>
      </c>
      <c r="D9" s="18">
        <f>C9+сентябрь!D9</f>
        <v>117996.07</v>
      </c>
      <c r="E9" s="9">
        <f>1589.12+9193.38</f>
        <v>10782.5</v>
      </c>
      <c r="F9" s="18">
        <f>E9+сентябрь!F9</f>
        <v>112840.29999999999</v>
      </c>
      <c r="G9" s="18">
        <f t="shared" si="0"/>
        <v>-1280.2900000000009</v>
      </c>
      <c r="H9" s="19">
        <f t="shared" si="0"/>
        <v>-5155.7700000000186</v>
      </c>
      <c r="I9" s="9"/>
      <c r="J9" s="19">
        <f>I9+сентябрь!J9</f>
        <v>0</v>
      </c>
      <c r="K9" s="8"/>
      <c r="L9" s="18">
        <f>K9+сентябрь!L9</f>
        <v>0</v>
      </c>
    </row>
    <row r="10" spans="1:13" ht="12.95" customHeight="1">
      <c r="A10" s="1">
        <f t="shared" si="1"/>
        <v>8</v>
      </c>
      <c r="B10" s="34" t="str">
        <f>сентябрь!B10</f>
        <v>Холодная вода</v>
      </c>
      <c r="C10" s="8">
        <f>12488.19+50404.35</f>
        <v>62892.54</v>
      </c>
      <c r="D10" s="18">
        <f>C10+сентябрь!D10</f>
        <v>631113.34</v>
      </c>
      <c r="E10" s="9">
        <f>10831.52+44790</f>
        <v>55621.520000000004</v>
      </c>
      <c r="F10" s="18">
        <f>E10+сентябрь!F10</f>
        <v>588395.70000000007</v>
      </c>
      <c r="G10" s="18">
        <f t="shared" si="0"/>
        <v>-7271.0199999999968</v>
      </c>
      <c r="H10" s="19">
        <f t="shared" si="0"/>
        <v>-42717.639999999898</v>
      </c>
      <c r="I10" s="9"/>
      <c r="J10" s="19">
        <f>I10+сентябрь!J10</f>
        <v>0</v>
      </c>
      <c r="K10" s="8"/>
      <c r="L10" s="18">
        <f>K10+сентябрь!L10</f>
        <v>0</v>
      </c>
    </row>
    <row r="11" spans="1:13" ht="12.95" customHeight="1">
      <c r="A11" s="1">
        <f t="shared" si="1"/>
        <v>9</v>
      </c>
      <c r="B11" s="34" t="str">
        <f>сентябрь!B11</f>
        <v>Канализир.х.воды</v>
      </c>
      <c r="C11" s="8">
        <v>0</v>
      </c>
      <c r="D11" s="18">
        <f>C11+сентябрь!D11</f>
        <v>0</v>
      </c>
      <c r="E11" s="8">
        <v>8.49</v>
      </c>
      <c r="F11" s="18">
        <f>E11+сентябрь!F11</f>
        <v>1517.04</v>
      </c>
      <c r="G11" s="18">
        <f t="shared" si="0"/>
        <v>8.49</v>
      </c>
      <c r="H11" s="19">
        <f t="shared" si="0"/>
        <v>1517.04</v>
      </c>
      <c r="I11" s="9"/>
      <c r="J11" s="19">
        <f>I11+сентябрь!J11</f>
        <v>0</v>
      </c>
      <c r="K11" s="8"/>
      <c r="L11" s="18">
        <f>K11+сентябрь!L11</f>
        <v>0</v>
      </c>
    </row>
    <row r="12" spans="1:13" ht="12.95" customHeight="1">
      <c r="A12" s="1">
        <f t="shared" si="1"/>
        <v>10</v>
      </c>
      <c r="B12" s="34" t="str">
        <f>сентябрь!B12</f>
        <v>Канализир.г.воды</v>
      </c>
      <c r="C12" s="8">
        <v>0</v>
      </c>
      <c r="D12" s="18">
        <f>C12+сентябрь!D12</f>
        <v>0</v>
      </c>
      <c r="E12" s="8">
        <v>5.77</v>
      </c>
      <c r="F12" s="18">
        <f>E12+сентябрь!F12</f>
        <v>1034.99</v>
      </c>
      <c r="G12" s="18">
        <f t="shared" si="0"/>
        <v>5.77</v>
      </c>
      <c r="H12" s="19">
        <f t="shared" si="0"/>
        <v>1034.99</v>
      </c>
      <c r="I12" s="9"/>
      <c r="J12" s="19">
        <f>I12+сентябрь!J12</f>
        <v>0</v>
      </c>
      <c r="K12" s="8"/>
      <c r="L12" s="18">
        <f>K12+сентябрь!L12</f>
        <v>0</v>
      </c>
    </row>
    <row r="13" spans="1:13" ht="12.95" customHeight="1">
      <c r="A13" s="1">
        <f t="shared" si="1"/>
        <v>11</v>
      </c>
      <c r="B13" s="34" t="str">
        <f>сентябрь!B13</f>
        <v>Тек.рем.общ.имущ.дома</v>
      </c>
      <c r="C13" s="8">
        <f>6627.38+33218.4</f>
        <v>39845.78</v>
      </c>
      <c r="D13" s="18">
        <f>C13+сентябрь!D13</f>
        <v>395812.47000000009</v>
      </c>
      <c r="E13" s="9">
        <f>5255.36+30424.28</f>
        <v>35679.64</v>
      </c>
      <c r="F13" s="18">
        <f>E13+сентябрь!F13</f>
        <v>383672.11000000004</v>
      </c>
      <c r="G13" s="18">
        <f t="shared" si="0"/>
        <v>-4166.1399999999994</v>
      </c>
      <c r="H13" s="19">
        <f t="shared" si="0"/>
        <v>-12140.360000000044</v>
      </c>
      <c r="I13" s="9"/>
      <c r="J13" s="19">
        <f>I13+сентябрь!J13</f>
        <v>0</v>
      </c>
      <c r="K13" s="8"/>
      <c r="L13" s="18">
        <f>K13+сентябрь!L13</f>
        <v>0</v>
      </c>
    </row>
    <row r="14" spans="1:13" ht="12.95" customHeight="1">
      <c r="A14" s="1">
        <f t="shared" si="1"/>
        <v>12</v>
      </c>
      <c r="B14" s="34" t="str">
        <f>сентябрь!B14</f>
        <v>Управление многокв.домом</v>
      </c>
      <c r="C14" s="8">
        <f>3201.63+16047.54</f>
        <v>19249.170000000002</v>
      </c>
      <c r="D14" s="18">
        <f>C14+сентябрь!D14</f>
        <v>174720.44</v>
      </c>
      <c r="E14" s="9">
        <f>2523.1+14553.53</f>
        <v>17076.63</v>
      </c>
      <c r="F14" s="18">
        <f>E14+сентябрь!F14</f>
        <v>163744.59000000003</v>
      </c>
      <c r="G14" s="18">
        <f t="shared" si="0"/>
        <v>-2172.5400000000009</v>
      </c>
      <c r="H14" s="19">
        <f t="shared" si="0"/>
        <v>-10975.849999999977</v>
      </c>
      <c r="I14" s="9"/>
      <c r="J14" s="19">
        <f>I14+сентябрь!J14</f>
        <v>0</v>
      </c>
      <c r="K14" s="8"/>
      <c r="L14" s="18">
        <f>K14+сентябрь!L14</f>
        <v>0</v>
      </c>
    </row>
    <row r="15" spans="1:13" ht="12.95" customHeight="1">
      <c r="A15" s="1">
        <f t="shared" si="1"/>
        <v>13</v>
      </c>
      <c r="B15" s="34" t="str">
        <f>сентябрь!B15</f>
        <v>Водоотведение(кв)</v>
      </c>
      <c r="C15" s="8">
        <f>21329.83+86051.23</f>
        <v>107381.06</v>
      </c>
      <c r="D15" s="18">
        <f>C15+сентябрь!D15</f>
        <v>1077560.6199999999</v>
      </c>
      <c r="E15" s="9">
        <f>18471+76231.81</f>
        <v>94702.81</v>
      </c>
      <c r="F15" s="18">
        <f>E15+сентябрь!F15</f>
        <v>1005156.1499999999</v>
      </c>
      <c r="G15" s="18">
        <f t="shared" si="0"/>
        <v>-12678.25</v>
      </c>
      <c r="H15" s="19">
        <f t="shared" si="0"/>
        <v>-72404.469999999972</v>
      </c>
      <c r="I15" s="9"/>
      <c r="J15" s="19">
        <f>I15+сентябрь!J15</f>
        <v>0</v>
      </c>
      <c r="K15" s="8"/>
      <c r="L15" s="18">
        <f>K15+сентябрь!L15</f>
        <v>0</v>
      </c>
    </row>
    <row r="16" spans="1:13" ht="12.95" customHeight="1">
      <c r="A16" s="1">
        <f t="shared" si="1"/>
        <v>14</v>
      </c>
      <c r="B16" s="34" t="str">
        <f>сентябрь!B16</f>
        <v>Электроснабж.на общед.нужды</v>
      </c>
      <c r="C16" s="8">
        <f>1027.95+5152+182.27</f>
        <v>6362.22</v>
      </c>
      <c r="D16" s="18">
        <f>C16+сентябрь!D16</f>
        <v>66023.61</v>
      </c>
      <c r="E16" s="9">
        <f>858.57+4432.81+182.07</f>
        <v>5473.45</v>
      </c>
      <c r="F16" s="18">
        <f>E16+сентябрь!F16</f>
        <v>64859.64</v>
      </c>
      <c r="G16" s="18">
        <f t="shared" si="0"/>
        <v>-888.77000000000044</v>
      </c>
      <c r="H16" s="19">
        <f t="shared" si="0"/>
        <v>-1163.9700000000012</v>
      </c>
      <c r="I16" s="9"/>
      <c r="J16" s="19">
        <f>I16+сентябрь!J16</f>
        <v>0</v>
      </c>
      <c r="K16" s="8"/>
      <c r="L16" s="18">
        <f>K16+сентябрь!L16</f>
        <v>0</v>
      </c>
    </row>
    <row r="17" spans="1:12" ht="12.95" customHeight="1">
      <c r="A17" s="1">
        <f t="shared" si="1"/>
        <v>15</v>
      </c>
      <c r="B17" s="34" t="str">
        <f>сентябрь!B17</f>
        <v>Эксплуатация общедом.ПУ</v>
      </c>
      <c r="C17" s="8">
        <f>704.34+3530.53</f>
        <v>4234.87</v>
      </c>
      <c r="D17" s="18">
        <f>C17+сентябрь!D17</f>
        <v>43473.580000000009</v>
      </c>
      <c r="E17" s="9">
        <f>558.66+3232.72</f>
        <v>3791.3799999999997</v>
      </c>
      <c r="F17" s="18">
        <f>E17+сентябрь!F17</f>
        <v>44011.599999999991</v>
      </c>
      <c r="G17" s="18">
        <f t="shared" si="0"/>
        <v>-443.49000000000024</v>
      </c>
      <c r="H17" s="19">
        <f t="shared" si="0"/>
        <v>538.01999999998225</v>
      </c>
      <c r="I17" s="9"/>
      <c r="J17" s="19">
        <f>I17+сентябрь!J17</f>
        <v>0</v>
      </c>
      <c r="K17" s="8"/>
      <c r="L17" s="18">
        <f>K17+сентябрь!L17</f>
        <v>0</v>
      </c>
    </row>
    <row r="18" spans="1:12" ht="12.95" customHeight="1">
      <c r="A18" s="1">
        <f t="shared" si="1"/>
        <v>16</v>
      </c>
      <c r="B18" s="34" t="str">
        <f>сентябрь!B18</f>
        <v>Водоотведение(о/д нужды)</v>
      </c>
      <c r="C18" s="8">
        <v>0</v>
      </c>
      <c r="D18" s="18">
        <f>C18+сентябрь!D18</f>
        <v>0</v>
      </c>
      <c r="E18" s="9">
        <v>-245.83</v>
      </c>
      <c r="F18" s="18">
        <f>E18+сентябрь!F18</f>
        <v>-311.07000000000005</v>
      </c>
      <c r="G18" s="18">
        <f t="shared" si="0"/>
        <v>-245.83</v>
      </c>
      <c r="H18" s="19">
        <f t="shared" si="0"/>
        <v>-311.07000000000005</v>
      </c>
      <c r="I18" s="9"/>
      <c r="J18" s="19">
        <f>I18+сентябрь!J18</f>
        <v>0</v>
      </c>
      <c r="K18" s="8"/>
      <c r="L18" s="18">
        <f>K18+сентябрь!L18</f>
        <v>0</v>
      </c>
    </row>
    <row r="19" spans="1:12" ht="12.95" customHeight="1">
      <c r="A19" s="1">
        <f t="shared" si="1"/>
        <v>17</v>
      </c>
      <c r="B19" s="34" t="str">
        <f>сентябрь!B19</f>
        <v>Отопление (о/д нужды)</v>
      </c>
      <c r="C19" s="8">
        <v>0</v>
      </c>
      <c r="D19" s="18">
        <f>C19+сентябрь!D19</f>
        <v>0</v>
      </c>
      <c r="E19" s="8">
        <v>0</v>
      </c>
      <c r="F19" s="18">
        <f>E19+сентябрь!F19</f>
        <v>762</v>
      </c>
      <c r="G19" s="18">
        <f t="shared" si="0"/>
        <v>0</v>
      </c>
      <c r="H19" s="19">
        <f t="shared" si="0"/>
        <v>762</v>
      </c>
      <c r="I19" s="9"/>
      <c r="J19" s="19">
        <f>I19+сентябрь!J19</f>
        <v>0</v>
      </c>
      <c r="K19" s="8"/>
      <c r="L19" s="18">
        <f>K19+сентябрь!L19</f>
        <v>0</v>
      </c>
    </row>
    <row r="20" spans="1:12" ht="12.95" customHeight="1">
      <c r="A20" s="1">
        <f t="shared" si="1"/>
        <v>18</v>
      </c>
      <c r="B20" s="34" t="str">
        <f>сентябрь!B20</f>
        <v>Гор.водоснабж.(о/д нужды)</v>
      </c>
      <c r="C20" s="8">
        <f>830.69+4171.35</f>
        <v>5002.0400000000009</v>
      </c>
      <c r="D20" s="18">
        <f>C20+сентябрь!D20</f>
        <v>50059.839999999997</v>
      </c>
      <c r="E20" s="9">
        <f>656.13+3807.79</f>
        <v>4463.92</v>
      </c>
      <c r="F20" s="18">
        <f>E20+сентябрь!F20</f>
        <v>49679.004000000001</v>
      </c>
      <c r="G20" s="18">
        <f t="shared" si="0"/>
        <v>-538.1200000000008</v>
      </c>
      <c r="H20" s="19">
        <f t="shared" si="0"/>
        <v>-380.83599999999569</v>
      </c>
      <c r="I20" s="9"/>
      <c r="J20" s="19">
        <f>I20+сентябрь!J20</f>
        <v>0</v>
      </c>
      <c r="K20" s="8"/>
      <c r="L20" s="18">
        <f>K20+сентябрь!L20</f>
        <v>0</v>
      </c>
    </row>
    <row r="21" spans="1:12" ht="12.95" customHeight="1">
      <c r="A21" s="1">
        <f t="shared" si="1"/>
        <v>19</v>
      </c>
      <c r="B21" s="34" t="str">
        <f>сентябрь!B21</f>
        <v>Холодн водосн о/д нужды</v>
      </c>
      <c r="C21" s="8">
        <f>385.4+1934.55</f>
        <v>2319.9499999999998</v>
      </c>
      <c r="D21" s="18">
        <f>C21+сентябрь!D21</f>
        <v>22167.420000000002</v>
      </c>
      <c r="E21" s="9">
        <f>305+1771.6</f>
        <v>2076.6</v>
      </c>
      <c r="F21" s="18">
        <f>E21+сентябрь!F21</f>
        <v>22154.719999999998</v>
      </c>
      <c r="G21" s="18">
        <f t="shared" si="0"/>
        <v>-243.34999999999991</v>
      </c>
      <c r="H21" s="19">
        <f t="shared" si="0"/>
        <v>-12.700000000004366</v>
      </c>
      <c r="I21" s="9"/>
      <c r="J21" s="19">
        <f>I21+сентябрь!J21</f>
        <v>0</v>
      </c>
      <c r="K21" s="8"/>
      <c r="L21" s="18">
        <f>K21+сентябрь!L21</f>
        <v>0</v>
      </c>
    </row>
    <row r="22" spans="1:12" ht="12.95" customHeight="1">
      <c r="A22" s="1">
        <f t="shared" si="1"/>
        <v>20</v>
      </c>
      <c r="B22" s="34">
        <f>сентябрь!B22</f>
        <v>0</v>
      </c>
      <c r="C22" s="8">
        <v>0</v>
      </c>
      <c r="D22" s="18">
        <f>C22+сентябрь!D22</f>
        <v>0</v>
      </c>
      <c r="E22" s="8">
        <v>0</v>
      </c>
      <c r="F22" s="18">
        <f>E22+сентябрь!F22</f>
        <v>0</v>
      </c>
      <c r="G22" s="18">
        <f t="shared" si="0"/>
        <v>0</v>
      </c>
      <c r="H22" s="19">
        <f t="shared" si="0"/>
        <v>0</v>
      </c>
      <c r="I22" s="9"/>
      <c r="J22" s="19">
        <f>I22+сентябрь!J22</f>
        <v>0</v>
      </c>
      <c r="K22" s="8"/>
      <c r="L22" s="18">
        <f>K22+сентябрь!L22</f>
        <v>0</v>
      </c>
    </row>
    <row r="23" spans="1:12" ht="12.95" customHeight="1">
      <c r="A23" s="21"/>
      <c r="B23" s="25" t="s">
        <v>12</v>
      </c>
      <c r="C23" s="22">
        <f t="shared" ref="C23:L23" si="2">SUM(C3:C22)</f>
        <v>766346.87</v>
      </c>
      <c r="D23" s="22">
        <f t="shared" si="2"/>
        <v>6877240.580000001</v>
      </c>
      <c r="E23" s="23">
        <f t="shared" si="2"/>
        <v>485855.92</v>
      </c>
      <c r="F23" s="22">
        <f t="shared" si="2"/>
        <v>6712734.1439999985</v>
      </c>
      <c r="G23" s="22">
        <f t="shared" si="2"/>
        <v>-280490.95</v>
      </c>
      <c r="H23" s="23">
        <f t="shared" si="2"/>
        <v>-164506.43599999958</v>
      </c>
      <c r="I23" s="23">
        <f t="shared" si="2"/>
        <v>0</v>
      </c>
      <c r="J23" s="23">
        <f t="shared" si="2"/>
        <v>0</v>
      </c>
      <c r="K23" s="22">
        <f t="shared" si="2"/>
        <v>0</v>
      </c>
      <c r="L23" s="22">
        <f t="shared" si="2"/>
        <v>0</v>
      </c>
    </row>
    <row r="25" spans="1:12" hidden="1"/>
    <row r="26" spans="1:12" hidden="1"/>
    <row r="27" spans="1:12" ht="5.25" customHeight="1"/>
    <row r="28" spans="1:12">
      <c r="B28" s="1" t="s">
        <v>35</v>
      </c>
      <c r="C28" s="9">
        <f>C10+C11+C12+C15+C18+C21</f>
        <v>172593.55000000002</v>
      </c>
      <c r="D28" s="9">
        <f t="shared" ref="D28:J28" si="3">D10+D11+D12+D15+D18+D21</f>
        <v>1730841.38</v>
      </c>
      <c r="E28" s="9">
        <f t="shared" si="3"/>
        <v>152169.36000000002</v>
      </c>
      <c r="F28" s="9">
        <f t="shared" si="3"/>
        <v>1617947.5299999998</v>
      </c>
      <c r="G28" s="9">
        <f t="shared" si="3"/>
        <v>-20424.189999999995</v>
      </c>
      <c r="H28" s="9">
        <f t="shared" si="3"/>
        <v>-112893.84999999989</v>
      </c>
      <c r="I28" s="9">
        <f t="shared" si="3"/>
        <v>0</v>
      </c>
      <c r="J28" s="9">
        <f t="shared" si="3"/>
        <v>0</v>
      </c>
    </row>
    <row r="29" spans="1:12">
      <c r="B29" s="1" t="s">
        <v>36</v>
      </c>
      <c r="C29" s="9">
        <f>C16</f>
        <v>6362.22</v>
      </c>
      <c r="D29" s="9">
        <f t="shared" ref="D29:J29" si="4">D16</f>
        <v>66023.61</v>
      </c>
      <c r="E29" s="9">
        <f t="shared" si="4"/>
        <v>5473.45</v>
      </c>
      <c r="F29" s="9">
        <f t="shared" si="4"/>
        <v>64859.64</v>
      </c>
      <c r="G29" s="9">
        <f t="shared" si="4"/>
        <v>-888.77000000000044</v>
      </c>
      <c r="H29" s="9">
        <f t="shared" si="4"/>
        <v>-1163.9700000000012</v>
      </c>
      <c r="I29" s="9">
        <f t="shared" si="4"/>
        <v>0</v>
      </c>
      <c r="J29" s="9">
        <f t="shared" si="4"/>
        <v>0</v>
      </c>
    </row>
    <row r="30" spans="1:12">
      <c r="B30" s="1" t="s">
        <v>37</v>
      </c>
      <c r="C30" s="9">
        <f>C4+C5+C19+C20</f>
        <v>400720.52999999997</v>
      </c>
      <c r="D30" s="9">
        <f t="shared" ref="D30:J30" si="5">D4+D5+D19+D20</f>
        <v>3271289.03</v>
      </c>
      <c r="E30" s="9">
        <f t="shared" si="5"/>
        <v>161027.35</v>
      </c>
      <c r="F30" s="9">
        <f t="shared" si="5"/>
        <v>3287631.8140000002</v>
      </c>
      <c r="G30" s="9">
        <f t="shared" si="5"/>
        <v>-239693.18</v>
      </c>
      <c r="H30" s="9">
        <f t="shared" si="5"/>
        <v>16342.784000000116</v>
      </c>
      <c r="I30" s="9">
        <f t="shared" si="5"/>
        <v>0</v>
      </c>
      <c r="J30" s="9">
        <f t="shared" si="5"/>
        <v>0</v>
      </c>
    </row>
    <row r="33" spans="3:5">
      <c r="C33">
        <f>138041.85+628305.02</f>
        <v>766346.87</v>
      </c>
      <c r="E33">
        <f>87494.7+398361.22</f>
        <v>485855.92</v>
      </c>
    </row>
    <row r="34" spans="3:5">
      <c r="C34" s="24"/>
      <c r="D34" s="11"/>
      <c r="E34" s="11"/>
    </row>
    <row r="36" spans="3:5">
      <c r="C36" s="24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37"/>
  <sheetViews>
    <sheetView workbookViewId="0">
      <selection activeCell="E26" sqref="E26"/>
    </sheetView>
  </sheetViews>
  <sheetFormatPr defaultRowHeight="12.75"/>
  <cols>
    <col min="1" max="1" width="3.7109375" customWidth="1"/>
    <col min="2" max="2" width="28.42578125" customWidth="1"/>
    <col min="3" max="3" width="12.85546875" customWidth="1"/>
    <col min="4" max="4" width="12" customWidth="1"/>
    <col min="5" max="5" width="13.140625" customWidth="1"/>
    <col min="6" max="7" width="12.140625" customWidth="1"/>
    <col min="8" max="8" width="11.5703125" customWidth="1"/>
    <col min="9" max="9" width="10.140625" bestFit="1" customWidth="1"/>
    <col min="10" max="10" width="11.5703125" customWidth="1"/>
    <col min="11" max="11" width="10.5703125" customWidth="1"/>
    <col min="12" max="12" width="12" customWidth="1"/>
    <col min="13" max="13" width="10.140625" bestFit="1" customWidth="1"/>
  </cols>
  <sheetData>
    <row r="1" spans="1:13" ht="30" customHeight="1">
      <c r="B1" s="11" t="s">
        <v>39</v>
      </c>
      <c r="D1" s="11" t="s">
        <v>50</v>
      </c>
    </row>
    <row r="2" spans="1:13" s="33" customFormat="1" ht="25.5">
      <c r="A2" s="27" t="s">
        <v>0</v>
      </c>
      <c r="B2" s="28" t="s">
        <v>1</v>
      </c>
      <c r="C2" s="29" t="s">
        <v>2</v>
      </c>
      <c r="D2" s="30" t="s">
        <v>3</v>
      </c>
      <c r="E2" s="31" t="s">
        <v>4</v>
      </c>
      <c r="F2" s="30" t="s">
        <v>5</v>
      </c>
      <c r="G2" s="30" t="s">
        <v>6</v>
      </c>
      <c r="H2" s="32" t="s">
        <v>7</v>
      </c>
      <c r="I2" s="31" t="s">
        <v>8</v>
      </c>
      <c r="J2" s="32" t="s">
        <v>9</v>
      </c>
      <c r="K2" s="28" t="s">
        <v>10</v>
      </c>
      <c r="L2" s="30" t="s">
        <v>11</v>
      </c>
    </row>
    <row r="3" spans="1:13" ht="15" customHeight="1">
      <c r="A3" s="1">
        <v>1</v>
      </c>
      <c r="B3" s="34" t="str">
        <f>октябрь!B3</f>
        <v>Содержание общ.имущ.дома</v>
      </c>
      <c r="C3" s="8">
        <f>66597.42+13286.79</f>
        <v>79884.209999999992</v>
      </c>
      <c r="D3" s="18">
        <f>C3+октябрь!D3</f>
        <v>851485.12999999989</v>
      </c>
      <c r="E3" s="9">
        <f>59991.85+10276.58</f>
        <v>70268.429999999993</v>
      </c>
      <c r="F3" s="18">
        <f>E3+октябрь!F3</f>
        <v>810242.44000000018</v>
      </c>
      <c r="G3" s="18">
        <f>E3-C3</f>
        <v>-9615.7799999999988</v>
      </c>
      <c r="H3" s="19">
        <f>F3-D3</f>
        <v>-41242.689999999711</v>
      </c>
      <c r="I3" s="9"/>
      <c r="J3" s="19">
        <f>I3+октябрь!J3</f>
        <v>0</v>
      </c>
      <c r="K3" s="8"/>
      <c r="L3" s="18">
        <f>K3+октябрь!L3</f>
        <v>0</v>
      </c>
    </row>
    <row r="4" spans="1:13" ht="15" customHeight="1">
      <c r="A4" s="1">
        <f>A3+1</f>
        <v>2</v>
      </c>
      <c r="B4" s="34" t="str">
        <f>октябрь!B4</f>
        <v>Отопление</v>
      </c>
      <c r="C4" s="8">
        <f>137256.88+27383.97</f>
        <v>164640.85</v>
      </c>
      <c r="D4" s="18">
        <f>C4+октябрь!D4</f>
        <v>1801692.4200000002</v>
      </c>
      <c r="E4" s="9">
        <f>144241.16+24370.69</f>
        <v>168611.85</v>
      </c>
      <c r="F4" s="18">
        <f>E4+октябрь!F4</f>
        <v>1912926.95</v>
      </c>
      <c r="G4" s="18">
        <f t="shared" ref="G4:H22" si="0">E4-C4</f>
        <v>3971</v>
      </c>
      <c r="H4" s="19">
        <f t="shared" si="0"/>
        <v>111234.5299999998</v>
      </c>
      <c r="I4" s="9"/>
      <c r="J4" s="19">
        <f>I4+октябрь!J4</f>
        <v>0</v>
      </c>
      <c r="K4" s="8"/>
      <c r="L4" s="18">
        <f>K4+октябрь!L4</f>
        <v>0</v>
      </c>
      <c r="M4" s="24">
        <f>L4-J4</f>
        <v>0</v>
      </c>
    </row>
    <row r="5" spans="1:13" ht="15" customHeight="1">
      <c r="A5" s="1">
        <f t="shared" ref="A5:A22" si="1">A4+1</f>
        <v>3</v>
      </c>
      <c r="B5" s="34" t="str">
        <f>октябрь!B5</f>
        <v>Горячее водоснабжение</v>
      </c>
      <c r="C5" s="8">
        <f>127156.04+30954.67</f>
        <v>158110.71</v>
      </c>
      <c r="D5" s="18">
        <f>C5+октябрь!D5</f>
        <v>1742288.3299999998</v>
      </c>
      <c r="E5" s="9">
        <f>109307.61+24332.38</f>
        <v>133639.99</v>
      </c>
      <c r="F5" s="18">
        <f>E5+октябрь!F5</f>
        <v>1626515.7000000002</v>
      </c>
      <c r="G5" s="18">
        <f t="shared" si="0"/>
        <v>-24470.720000000001</v>
      </c>
      <c r="H5" s="19">
        <f t="shared" si="0"/>
        <v>-115772.62999999966</v>
      </c>
      <c r="I5" s="9"/>
      <c r="J5" s="19">
        <f>I5+октябрь!J5</f>
        <v>0</v>
      </c>
      <c r="K5" s="8"/>
      <c r="L5" s="18">
        <f>K5+октябрь!L5</f>
        <v>0</v>
      </c>
    </row>
    <row r="6" spans="1:13" ht="15" customHeight="1">
      <c r="A6" s="1">
        <f t="shared" si="1"/>
        <v>4</v>
      </c>
      <c r="B6" s="34" t="str">
        <f>октябрь!B6</f>
        <v>Сод.и ремонт АППЗ</v>
      </c>
      <c r="C6" s="8">
        <f>2353.62+469.6</f>
        <v>2823.22</v>
      </c>
      <c r="D6" s="18">
        <f>C6+октябрь!D6</f>
        <v>30860.250000000004</v>
      </c>
      <c r="E6" s="9">
        <f>2128.12+367.16</f>
        <v>2495.2799999999997</v>
      </c>
      <c r="F6" s="18">
        <f>E6+октябрь!F6</f>
        <v>29723.829999999998</v>
      </c>
      <c r="G6" s="18">
        <f t="shared" si="0"/>
        <v>-327.94000000000005</v>
      </c>
      <c r="H6" s="19">
        <f t="shared" si="0"/>
        <v>-1136.4200000000055</v>
      </c>
      <c r="I6" s="9"/>
      <c r="J6" s="19">
        <f>I6+октябрь!J6</f>
        <v>0</v>
      </c>
      <c r="K6" s="8"/>
      <c r="L6" s="18">
        <f>K6+октябрь!L6</f>
        <v>0</v>
      </c>
    </row>
    <row r="7" spans="1:13" ht="15" customHeight="1">
      <c r="A7" s="1">
        <f t="shared" si="1"/>
        <v>5</v>
      </c>
      <c r="B7" s="34" t="str">
        <f>октябрь!B7</f>
        <v>Сод.и ремонт лифтов</v>
      </c>
      <c r="C7" s="8">
        <f>15577.77+3148.28</f>
        <v>18726.05</v>
      </c>
      <c r="D7" s="18">
        <f>C7+октябрь!D7</f>
        <v>204608.40999999997</v>
      </c>
      <c r="E7" s="9">
        <f>14248.38+2449.45</f>
        <v>16697.829999999998</v>
      </c>
      <c r="F7" s="18">
        <f>E7+октябрь!F7</f>
        <v>200098.31</v>
      </c>
      <c r="G7" s="18">
        <f t="shared" si="0"/>
        <v>-2028.2200000000012</v>
      </c>
      <c r="H7" s="19">
        <f t="shared" si="0"/>
        <v>-4510.0999999999767</v>
      </c>
      <c r="I7" s="9"/>
      <c r="J7" s="19">
        <f>I7+октябрь!J7</f>
        <v>0</v>
      </c>
      <c r="K7" s="8"/>
      <c r="L7" s="18">
        <f>K7+октябрь!L7</f>
        <v>0</v>
      </c>
    </row>
    <row r="8" spans="1:13" ht="15" customHeight="1">
      <c r="A8" s="1">
        <f t="shared" si="1"/>
        <v>6</v>
      </c>
      <c r="B8" s="34" t="str">
        <f>октябрь!B8</f>
        <v>Очистка мусоропроводов</v>
      </c>
      <c r="C8" s="8">
        <f>8147.62+1696.86</f>
        <v>9844.48</v>
      </c>
      <c r="D8" s="18">
        <f>C8+октябрь!D8</f>
        <v>101408.16999999998</v>
      </c>
      <c r="E8" s="9">
        <f>7339+1309.46</f>
        <v>8648.4599999999991</v>
      </c>
      <c r="F8" s="18">
        <f>E8+октябрь!F8</f>
        <v>96071.979999999981</v>
      </c>
      <c r="G8" s="18">
        <f t="shared" si="0"/>
        <v>-1196.0200000000004</v>
      </c>
      <c r="H8" s="19">
        <f t="shared" si="0"/>
        <v>-5336.1900000000023</v>
      </c>
      <c r="I8" s="9"/>
      <c r="J8" s="19">
        <f>I8+октябрь!J8</f>
        <v>0</v>
      </c>
      <c r="K8" s="8"/>
      <c r="L8" s="18">
        <f>K8+октябрь!L8</f>
        <v>0</v>
      </c>
    </row>
    <row r="9" spans="1:13" ht="15" customHeight="1">
      <c r="A9" s="1">
        <f t="shared" si="1"/>
        <v>7</v>
      </c>
      <c r="B9" s="34" t="str">
        <f>октябрь!B9</f>
        <v>Уборка и сан.очистка зем.уч.</v>
      </c>
      <c r="C9" s="8">
        <f>10056.43+2006.36</f>
        <v>12062.79</v>
      </c>
      <c r="D9" s="18">
        <f>C9+октябрь!D9</f>
        <v>130058.86000000002</v>
      </c>
      <c r="E9" s="9">
        <f>9051.09+1542.66</f>
        <v>10593.75</v>
      </c>
      <c r="F9" s="18">
        <f>E9+октябрь!F9</f>
        <v>123434.04999999999</v>
      </c>
      <c r="G9" s="18">
        <f t="shared" si="0"/>
        <v>-1469.0400000000009</v>
      </c>
      <c r="H9" s="19">
        <f t="shared" si="0"/>
        <v>-6624.8100000000268</v>
      </c>
      <c r="I9" s="9"/>
      <c r="J9" s="19">
        <f>I9+октябрь!J9</f>
        <v>0</v>
      </c>
      <c r="K9" s="8"/>
      <c r="L9" s="18">
        <f>K9+октябрь!L9</f>
        <v>0</v>
      </c>
    </row>
    <row r="10" spans="1:13" ht="15" customHeight="1">
      <c r="A10" s="1">
        <f t="shared" si="1"/>
        <v>8</v>
      </c>
      <c r="B10" s="34" t="str">
        <f>октябрь!B10</f>
        <v>Холодная вода</v>
      </c>
      <c r="C10" s="8">
        <f>49825.14+12538.44</f>
        <v>62363.58</v>
      </c>
      <c r="D10" s="18">
        <f>C10+октябрь!D10</f>
        <v>693476.91999999993</v>
      </c>
      <c r="E10" s="9">
        <f>44484.58+9653.64</f>
        <v>54138.22</v>
      </c>
      <c r="F10" s="18">
        <f>E10+октябрь!F10</f>
        <v>642533.92000000004</v>
      </c>
      <c r="G10" s="18">
        <f t="shared" si="0"/>
        <v>-8225.36</v>
      </c>
      <c r="H10" s="19">
        <f t="shared" si="0"/>
        <v>-50942.999999999884</v>
      </c>
      <c r="I10" s="9"/>
      <c r="J10" s="19">
        <f>I10+октябрь!J10</f>
        <v>0</v>
      </c>
      <c r="K10" s="8"/>
      <c r="L10" s="18">
        <f>K10+октябрь!L10</f>
        <v>0</v>
      </c>
    </row>
    <row r="11" spans="1:13" ht="15" customHeight="1">
      <c r="A11" s="1">
        <f t="shared" si="1"/>
        <v>9</v>
      </c>
      <c r="B11" s="34" t="str">
        <f>октябрь!B11</f>
        <v>Канализир.х.воды</v>
      </c>
      <c r="C11" s="8">
        <v>0</v>
      </c>
      <c r="D11" s="18">
        <f>C11+октябрь!D11</f>
        <v>0</v>
      </c>
      <c r="E11" s="9">
        <v>0</v>
      </c>
      <c r="F11" s="18">
        <f>E11+октябрь!F11</f>
        <v>1517.04</v>
      </c>
      <c r="G11" s="18">
        <f t="shared" si="0"/>
        <v>0</v>
      </c>
      <c r="H11" s="19">
        <f t="shared" si="0"/>
        <v>1517.04</v>
      </c>
      <c r="I11" s="9"/>
      <c r="J11" s="19">
        <f>I11+октябрь!J11</f>
        <v>0</v>
      </c>
      <c r="K11" s="8"/>
      <c r="L11" s="18">
        <f>K11+октябрь!L11</f>
        <v>0</v>
      </c>
    </row>
    <row r="12" spans="1:13" ht="15" customHeight="1">
      <c r="A12" s="1">
        <f t="shared" si="1"/>
        <v>10</v>
      </c>
      <c r="B12" s="34" t="str">
        <f>октябрь!B12</f>
        <v>Канализир.г.воды</v>
      </c>
      <c r="C12" s="8">
        <v>0</v>
      </c>
      <c r="D12" s="18">
        <f>C12+октябрь!D12</f>
        <v>0</v>
      </c>
      <c r="E12" s="9">
        <v>0</v>
      </c>
      <c r="F12" s="18">
        <f>E12+октябрь!F12</f>
        <v>1034.99</v>
      </c>
      <c r="G12" s="18">
        <f t="shared" si="0"/>
        <v>0</v>
      </c>
      <c r="H12" s="19">
        <f t="shared" si="0"/>
        <v>1034.99</v>
      </c>
      <c r="I12" s="9"/>
      <c r="J12" s="19">
        <f>I12+октябрь!J12</f>
        <v>0</v>
      </c>
      <c r="K12" s="8"/>
      <c r="L12" s="18">
        <f>K12+октябрь!L12</f>
        <v>0</v>
      </c>
    </row>
    <row r="13" spans="1:13" ht="15" customHeight="1">
      <c r="A13" s="1">
        <f t="shared" si="1"/>
        <v>11</v>
      </c>
      <c r="B13" s="34" t="str">
        <f>октябрь!B13</f>
        <v>Тек.рем.общ.имущ.дома</v>
      </c>
      <c r="C13" s="8">
        <f>33218.4+6627.38</f>
        <v>39845.78</v>
      </c>
      <c r="D13" s="18">
        <f>C13+октябрь!D13</f>
        <v>435658.25000000012</v>
      </c>
      <c r="E13" s="9">
        <f>29997.78+5155.34</f>
        <v>35153.119999999995</v>
      </c>
      <c r="F13" s="18">
        <f>E13+октябрь!F13</f>
        <v>418825.23000000004</v>
      </c>
      <c r="G13" s="18">
        <f t="shared" si="0"/>
        <v>-4692.6600000000035</v>
      </c>
      <c r="H13" s="19">
        <f t="shared" si="0"/>
        <v>-16833.020000000077</v>
      </c>
      <c r="I13" s="9"/>
      <c r="J13" s="19">
        <f>I13+октябрь!J13</f>
        <v>0</v>
      </c>
      <c r="K13" s="8"/>
      <c r="L13" s="18">
        <f>K13+октябрь!L13</f>
        <v>0</v>
      </c>
    </row>
    <row r="14" spans="1:13" ht="15" customHeight="1">
      <c r="A14" s="1">
        <f t="shared" si="1"/>
        <v>12</v>
      </c>
      <c r="B14" s="34" t="str">
        <f>октябрь!B14</f>
        <v>Управление многокв.домом</v>
      </c>
      <c r="C14" s="8">
        <f>16047.54+3201.63</f>
        <v>19249.170000000002</v>
      </c>
      <c r="D14" s="18">
        <f>C14+октябрь!D14</f>
        <v>193969.61000000002</v>
      </c>
      <c r="E14" s="9">
        <f>14362.9+2450.43</f>
        <v>16813.329999999998</v>
      </c>
      <c r="F14" s="18">
        <f>E14+октябрь!F14</f>
        <v>180557.92</v>
      </c>
      <c r="G14" s="18">
        <f t="shared" si="0"/>
        <v>-2435.8400000000038</v>
      </c>
      <c r="H14" s="19">
        <f t="shared" si="0"/>
        <v>-13411.690000000002</v>
      </c>
      <c r="I14" s="9"/>
      <c r="J14" s="19">
        <f>I14+октябрь!J14</f>
        <v>0</v>
      </c>
      <c r="K14" s="8"/>
      <c r="L14" s="18">
        <f>K14+октябрь!L14</f>
        <v>0</v>
      </c>
    </row>
    <row r="15" spans="1:13" ht="15" customHeight="1">
      <c r="A15" s="1">
        <f t="shared" si="1"/>
        <v>13</v>
      </c>
      <c r="B15" s="34" t="str">
        <f>октябрь!B15</f>
        <v>Водоотведение(кв)</v>
      </c>
      <c r="C15" s="8">
        <f>86351.2+21430.33</f>
        <v>107781.53</v>
      </c>
      <c r="D15" s="18">
        <f>C15+октябрь!D15</f>
        <v>1185342.1499999999</v>
      </c>
      <c r="E15" s="9">
        <f>75353.98+16565.39</f>
        <v>91919.37</v>
      </c>
      <c r="F15" s="18">
        <f>E15+октябрь!F15</f>
        <v>1097075.52</v>
      </c>
      <c r="G15" s="18">
        <f t="shared" si="0"/>
        <v>-15862.160000000003</v>
      </c>
      <c r="H15" s="19">
        <f t="shared" si="0"/>
        <v>-88266.629999999888</v>
      </c>
      <c r="I15" s="9"/>
      <c r="J15" s="19">
        <f>I15+октябрь!J15</f>
        <v>0</v>
      </c>
      <c r="K15" s="8"/>
      <c r="L15" s="18">
        <f>K15+октябрь!L15</f>
        <v>0</v>
      </c>
    </row>
    <row r="16" spans="1:13" ht="15" customHeight="1">
      <c r="A16" s="1">
        <f t="shared" si="1"/>
        <v>14</v>
      </c>
      <c r="B16" s="34" t="str">
        <f>октябрь!B16</f>
        <v>Электроснабж.на общед.нужды</v>
      </c>
      <c r="C16" s="8">
        <f>5430.31+1083.44+802.79</f>
        <v>7316.54</v>
      </c>
      <c r="D16" s="18">
        <f>C16+октябрь!D16</f>
        <v>73340.149999999994</v>
      </c>
      <c r="E16" s="9">
        <f>4603.3+777.89+887.76</f>
        <v>6268.9500000000007</v>
      </c>
      <c r="F16" s="18">
        <f>E16+октябрь!F16</f>
        <v>71128.59</v>
      </c>
      <c r="G16" s="18">
        <f t="shared" si="0"/>
        <v>-1047.5899999999992</v>
      </c>
      <c r="H16" s="19">
        <f t="shared" si="0"/>
        <v>-2211.5599999999977</v>
      </c>
      <c r="I16" s="9"/>
      <c r="J16" s="19">
        <f>I16+октябрь!J16</f>
        <v>0</v>
      </c>
      <c r="K16" s="8"/>
      <c r="L16" s="18">
        <f>K16+октябрь!L16</f>
        <v>0</v>
      </c>
    </row>
    <row r="17" spans="1:12" ht="15" customHeight="1">
      <c r="A17" s="1">
        <f t="shared" si="1"/>
        <v>15</v>
      </c>
      <c r="B17" s="34" t="str">
        <f>октябрь!B17</f>
        <v>Эксплуатация общедом.ПУ</v>
      </c>
      <c r="C17" s="8">
        <f>3530.53+704.34</f>
        <v>4234.87</v>
      </c>
      <c r="D17" s="18">
        <f>C17+октябрь!D17</f>
        <v>47708.450000000012</v>
      </c>
      <c r="E17" s="9">
        <f>3188.71+547.85</f>
        <v>3736.56</v>
      </c>
      <c r="F17" s="18">
        <f>E17+октябрь!F17</f>
        <v>47748.159999999989</v>
      </c>
      <c r="G17" s="18">
        <f t="shared" si="0"/>
        <v>-498.30999999999995</v>
      </c>
      <c r="H17" s="19">
        <f t="shared" si="0"/>
        <v>39.709999999977299</v>
      </c>
      <c r="I17" s="9"/>
      <c r="J17" s="19">
        <f>I17+октябрь!J17</f>
        <v>0</v>
      </c>
      <c r="K17" s="8"/>
      <c r="L17" s="18">
        <f>K17+октябрь!L17</f>
        <v>0</v>
      </c>
    </row>
    <row r="18" spans="1:12" ht="15" customHeight="1">
      <c r="A18" s="1">
        <f t="shared" si="1"/>
        <v>16</v>
      </c>
      <c r="B18" s="34" t="str">
        <f>октябрь!B18</f>
        <v>Водоотведение(о/д нужды)</v>
      </c>
      <c r="C18" s="8">
        <v>0</v>
      </c>
      <c r="D18" s="18">
        <f>C18+октябрь!D18</f>
        <v>0</v>
      </c>
      <c r="E18" s="8">
        <v>0</v>
      </c>
      <c r="F18" s="18">
        <f>E18+октябрь!F18</f>
        <v>-311.07000000000005</v>
      </c>
      <c r="G18" s="18">
        <f t="shared" si="0"/>
        <v>0</v>
      </c>
      <c r="H18" s="19">
        <f t="shared" si="0"/>
        <v>-311.07000000000005</v>
      </c>
      <c r="I18" s="9"/>
      <c r="J18" s="19">
        <f>I18+октябрь!J18</f>
        <v>0</v>
      </c>
      <c r="K18" s="8"/>
      <c r="L18" s="18">
        <f>K18+октябрь!L18</f>
        <v>0</v>
      </c>
    </row>
    <row r="19" spans="1:12" ht="15" customHeight="1">
      <c r="A19" s="1">
        <f t="shared" si="1"/>
        <v>17</v>
      </c>
      <c r="B19" s="34" t="str">
        <f>октябрь!B19</f>
        <v>Отопление (о/д нужды)</v>
      </c>
      <c r="C19" s="8">
        <v>0</v>
      </c>
      <c r="D19" s="18">
        <f>C19+октябрь!D19</f>
        <v>0</v>
      </c>
      <c r="E19" s="8">
        <v>0</v>
      </c>
      <c r="F19" s="18">
        <f>E19+октябрь!F19</f>
        <v>762</v>
      </c>
      <c r="G19" s="18">
        <f t="shared" si="0"/>
        <v>0</v>
      </c>
      <c r="H19" s="19">
        <f t="shared" si="0"/>
        <v>762</v>
      </c>
      <c r="I19" s="9"/>
      <c r="J19" s="19">
        <f>I19+октябрь!J19</f>
        <v>0</v>
      </c>
      <c r="K19" s="8"/>
      <c r="L19" s="18">
        <f>K19+октябрь!L19</f>
        <v>0</v>
      </c>
    </row>
    <row r="20" spans="1:12" ht="15" customHeight="1">
      <c r="A20" s="1">
        <f t="shared" si="1"/>
        <v>18</v>
      </c>
      <c r="B20" s="34" t="str">
        <f>октябрь!B20</f>
        <v>Гор.водоснабж.(о/д нужды)</v>
      </c>
      <c r="C20" s="8">
        <f>4171.35+830.69</f>
        <v>5002.0400000000009</v>
      </c>
      <c r="D20" s="18">
        <f>C20+октябрь!D20</f>
        <v>55061.88</v>
      </c>
      <c r="E20" s="9">
        <f>3782.41+662.25</f>
        <v>4444.66</v>
      </c>
      <c r="F20" s="18">
        <f>E20+октябрь!F20</f>
        <v>54123.664000000004</v>
      </c>
      <c r="G20" s="18">
        <f t="shared" si="0"/>
        <v>-557.38000000000102</v>
      </c>
      <c r="H20" s="19">
        <f t="shared" si="0"/>
        <v>-938.21599999999307</v>
      </c>
      <c r="I20" s="9"/>
      <c r="J20" s="19">
        <f>I20+октябрь!J20</f>
        <v>0</v>
      </c>
      <c r="K20" s="8"/>
      <c r="L20" s="18">
        <f>K20+октябрь!L20</f>
        <v>0</v>
      </c>
    </row>
    <row r="21" spans="1:12" ht="15" customHeight="1">
      <c r="A21" s="1">
        <f t="shared" si="1"/>
        <v>19</v>
      </c>
      <c r="B21" s="34" t="str">
        <f>октябрь!B21</f>
        <v>Холодн водосн о/д нужды</v>
      </c>
      <c r="C21" s="8">
        <f>1934.55+385.4</f>
        <v>2319.9499999999998</v>
      </c>
      <c r="D21" s="18">
        <f>C21+октябрь!D21</f>
        <v>24487.370000000003</v>
      </c>
      <c r="E21" s="9">
        <f>1775.22+299.66</f>
        <v>2074.88</v>
      </c>
      <c r="F21" s="18">
        <f>E21+октябрь!F21</f>
        <v>24229.599999999999</v>
      </c>
      <c r="G21" s="18">
        <f t="shared" si="0"/>
        <v>-245.06999999999971</v>
      </c>
      <c r="H21" s="19">
        <f t="shared" si="0"/>
        <v>-257.77000000000407</v>
      </c>
      <c r="I21" s="9"/>
      <c r="J21" s="19">
        <f>I21+октябрь!J21</f>
        <v>0</v>
      </c>
      <c r="K21" s="8"/>
      <c r="L21" s="18">
        <f>K21+октябрь!L21</f>
        <v>0</v>
      </c>
    </row>
    <row r="22" spans="1:12" ht="15" customHeight="1">
      <c r="A22" s="1">
        <f t="shared" si="1"/>
        <v>20</v>
      </c>
      <c r="B22" s="34">
        <f>октябрь!B22</f>
        <v>0</v>
      </c>
      <c r="C22" s="8">
        <v>0</v>
      </c>
      <c r="D22" s="18">
        <f>C22+октябрь!D22</f>
        <v>0</v>
      </c>
      <c r="E22" s="9">
        <v>0</v>
      </c>
      <c r="F22" s="18">
        <f>E22+октябрь!F22</f>
        <v>0</v>
      </c>
      <c r="G22" s="18">
        <f t="shared" si="0"/>
        <v>0</v>
      </c>
      <c r="H22" s="19">
        <f t="shared" si="0"/>
        <v>0</v>
      </c>
      <c r="I22" s="9"/>
      <c r="J22" s="19">
        <f>I22+октябрь!J22</f>
        <v>0</v>
      </c>
      <c r="K22" s="8"/>
      <c r="L22" s="18">
        <f>K22+октябрь!L22</f>
        <v>0</v>
      </c>
    </row>
    <row r="23" spans="1:12" ht="15" customHeight="1">
      <c r="A23" s="21"/>
      <c r="B23" s="20" t="s">
        <v>12</v>
      </c>
      <c r="C23" s="18">
        <f t="shared" ref="C23:L23" si="2">SUM(C3:C22)</f>
        <v>694205.77</v>
      </c>
      <c r="D23" s="18">
        <f t="shared" si="2"/>
        <v>7571446.3500000006</v>
      </c>
      <c r="E23" s="19">
        <f t="shared" si="2"/>
        <v>625504.68000000017</v>
      </c>
      <c r="F23" s="18">
        <f t="shared" si="2"/>
        <v>7338238.8239999982</v>
      </c>
      <c r="G23" s="18">
        <f t="shared" si="2"/>
        <v>-68701.090000000026</v>
      </c>
      <c r="H23" s="19">
        <f t="shared" si="2"/>
        <v>-233207.52599999943</v>
      </c>
      <c r="I23" s="19">
        <f t="shared" si="2"/>
        <v>0</v>
      </c>
      <c r="J23" s="19">
        <f t="shared" si="2"/>
        <v>0</v>
      </c>
      <c r="K23" s="18">
        <f t="shared" si="2"/>
        <v>0</v>
      </c>
      <c r="L23" s="18">
        <f t="shared" si="2"/>
        <v>0</v>
      </c>
    </row>
    <row r="24" spans="1:12" ht="14.25" customHeight="1"/>
    <row r="25" spans="1:12" ht="14.25" customHeight="1"/>
    <row r="26" spans="1:12" ht="14.25" customHeight="1"/>
    <row r="27" spans="1:12" ht="14.25" customHeight="1"/>
    <row r="28" spans="1:12" ht="14.25" customHeight="1">
      <c r="B28" s="1" t="s">
        <v>35</v>
      </c>
      <c r="C28" s="9">
        <f>C10+C11+C12+C15+C18+C21</f>
        <v>172465.06</v>
      </c>
      <c r="D28" s="9">
        <f t="shared" ref="D28:J28" si="3">D10+D11+D12+D15+D18+D21</f>
        <v>1903306.44</v>
      </c>
      <c r="E28" s="9">
        <f t="shared" si="3"/>
        <v>148132.47</v>
      </c>
      <c r="F28" s="9">
        <f t="shared" si="3"/>
        <v>1766080.0000000002</v>
      </c>
      <c r="G28" s="9">
        <f t="shared" si="3"/>
        <v>-24332.590000000004</v>
      </c>
      <c r="H28" s="9">
        <f t="shared" si="3"/>
        <v>-137226.43999999977</v>
      </c>
      <c r="I28" s="9">
        <f t="shared" si="3"/>
        <v>0</v>
      </c>
      <c r="J28" s="9">
        <f t="shared" si="3"/>
        <v>0</v>
      </c>
    </row>
    <row r="29" spans="1:12">
      <c r="B29" s="1" t="s">
        <v>36</v>
      </c>
      <c r="C29" s="9">
        <f>C16</f>
        <v>7316.54</v>
      </c>
      <c r="D29" s="9">
        <f t="shared" ref="D29:J29" si="4">D16</f>
        <v>73340.149999999994</v>
      </c>
      <c r="E29" s="9">
        <f t="shared" si="4"/>
        <v>6268.9500000000007</v>
      </c>
      <c r="F29" s="9">
        <f t="shared" si="4"/>
        <v>71128.59</v>
      </c>
      <c r="G29" s="9">
        <f t="shared" si="4"/>
        <v>-1047.5899999999992</v>
      </c>
      <c r="H29" s="9">
        <f t="shared" si="4"/>
        <v>-2211.5599999999977</v>
      </c>
      <c r="I29" s="9">
        <f t="shared" si="4"/>
        <v>0</v>
      </c>
      <c r="J29" s="9">
        <f t="shared" si="4"/>
        <v>0</v>
      </c>
    </row>
    <row r="30" spans="1:12">
      <c r="B30" s="1" t="s">
        <v>37</v>
      </c>
      <c r="C30" s="9">
        <f>C4+C5+C19+C20</f>
        <v>327753.59999999998</v>
      </c>
      <c r="D30" s="9">
        <f t="shared" ref="D30:J30" si="5">D4+D5+D19+D20</f>
        <v>3599042.63</v>
      </c>
      <c r="E30" s="9">
        <f t="shared" si="5"/>
        <v>306696.49999999994</v>
      </c>
      <c r="F30" s="9">
        <f t="shared" si="5"/>
        <v>3594328.3140000002</v>
      </c>
      <c r="G30" s="9">
        <f t="shared" si="5"/>
        <v>-21057.100000000002</v>
      </c>
      <c r="H30" s="9">
        <f t="shared" si="5"/>
        <v>-4714.3159999998534</v>
      </c>
      <c r="I30" s="9">
        <f t="shared" si="5"/>
        <v>0</v>
      </c>
      <c r="J30" s="9">
        <f t="shared" si="5"/>
        <v>0</v>
      </c>
    </row>
    <row r="33" spans="3:5">
      <c r="C33">
        <f>568457.59+125748.18</f>
        <v>694205.77</v>
      </c>
      <c r="E33">
        <f>524743.85+100760.83</f>
        <v>625504.67999999993</v>
      </c>
    </row>
    <row r="37" spans="3:5">
      <c r="C37" s="11"/>
      <c r="D37" s="11"/>
      <c r="E37" s="24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34"/>
  <sheetViews>
    <sheetView tabSelected="1" topLeftCell="A10" workbookViewId="0">
      <selection activeCell="D35" sqref="D35"/>
    </sheetView>
  </sheetViews>
  <sheetFormatPr defaultRowHeight="12.75"/>
  <cols>
    <col min="1" max="1" width="3.7109375" customWidth="1"/>
    <col min="2" max="2" width="28.5703125" customWidth="1"/>
    <col min="3" max="3" width="12.85546875" customWidth="1"/>
    <col min="4" max="4" width="14.28515625" customWidth="1"/>
    <col min="5" max="5" width="15" customWidth="1"/>
    <col min="6" max="6" width="15.42578125" customWidth="1"/>
    <col min="7" max="7" width="13.5703125" customWidth="1"/>
    <col min="8" max="8" width="15.7109375" customWidth="1"/>
    <col min="9" max="9" width="10.140625" bestFit="1" customWidth="1"/>
    <col min="10" max="10" width="11.140625" customWidth="1"/>
    <col min="11" max="11" width="10.42578125" customWidth="1"/>
    <col min="12" max="12" width="12.5703125" customWidth="1"/>
    <col min="13" max="13" width="10.85546875" customWidth="1"/>
  </cols>
  <sheetData>
    <row r="1" spans="1:13" ht="22.5" customHeight="1">
      <c r="B1" s="11" t="s">
        <v>39</v>
      </c>
      <c r="C1" s="11"/>
      <c r="D1" s="11" t="s">
        <v>51</v>
      </c>
    </row>
    <row r="2" spans="1:13" s="33" customFormat="1" ht="25.5">
      <c r="A2" s="27" t="s">
        <v>0</v>
      </c>
      <c r="B2" s="75" t="s">
        <v>1</v>
      </c>
      <c r="C2" s="76" t="s">
        <v>2</v>
      </c>
      <c r="D2" s="77" t="s">
        <v>3</v>
      </c>
      <c r="E2" s="78" t="s">
        <v>4</v>
      </c>
      <c r="F2" s="77" t="s">
        <v>5</v>
      </c>
      <c r="G2" s="77" t="s">
        <v>6</v>
      </c>
      <c r="H2" s="79" t="s">
        <v>7</v>
      </c>
      <c r="I2" s="78" t="s">
        <v>8</v>
      </c>
      <c r="J2" s="79" t="s">
        <v>9</v>
      </c>
      <c r="K2" s="75" t="s">
        <v>10</v>
      </c>
      <c r="L2" s="77" t="s">
        <v>11</v>
      </c>
    </row>
    <row r="3" spans="1:13" ht="15" customHeight="1">
      <c r="A3" s="1">
        <v>1</v>
      </c>
      <c r="B3" s="34" t="str">
        <f>ноябрь!B3</f>
        <v>Содержание общ.имущ.дома</v>
      </c>
      <c r="C3" s="57">
        <f>12131.43+66886.26</f>
        <v>79017.69</v>
      </c>
      <c r="D3" s="66">
        <f>C3+ноябрь!D3</f>
        <v>930502.81999999983</v>
      </c>
      <c r="E3" s="67">
        <f>13904.23+73315.55</f>
        <v>87219.78</v>
      </c>
      <c r="F3" s="66">
        <f>E3+ноябрь!F3</f>
        <v>897462.2200000002</v>
      </c>
      <c r="G3" s="66">
        <f>E3-C3</f>
        <v>8202.0899999999965</v>
      </c>
      <c r="H3" s="68">
        <f>F3-D3</f>
        <v>-33040.599999999627</v>
      </c>
      <c r="I3" s="67"/>
      <c r="J3" s="68">
        <f>I3+ноябрь!J3</f>
        <v>0</v>
      </c>
      <c r="K3" s="67"/>
      <c r="L3" s="68">
        <f>K3+ноябрь!L3</f>
        <v>0</v>
      </c>
    </row>
    <row r="4" spans="1:13" ht="15" customHeight="1">
      <c r="A4" s="1">
        <f>A3+1</f>
        <v>2</v>
      </c>
      <c r="B4" s="34" t="str">
        <f>ноябрь!B4</f>
        <v>Отопление</v>
      </c>
      <c r="C4" s="57">
        <f>65589.47+345061.94</f>
        <v>410651.41000000003</v>
      </c>
      <c r="D4" s="66">
        <f>C4+ноябрь!D4</f>
        <v>2212343.83</v>
      </c>
      <c r="E4" s="67">
        <f>27388.75+146418.78</f>
        <v>173807.53</v>
      </c>
      <c r="F4" s="66">
        <f>E4+ноябрь!F4</f>
        <v>2086734.48</v>
      </c>
      <c r="G4" s="66">
        <f t="shared" ref="G4:H22" si="0">E4-C4</f>
        <v>-236843.88000000003</v>
      </c>
      <c r="H4" s="68">
        <f t="shared" si="0"/>
        <v>-125609.35000000009</v>
      </c>
      <c r="I4" s="67"/>
      <c r="J4" s="68">
        <f>I4+ноябрь!J4</f>
        <v>0</v>
      </c>
      <c r="K4" s="69"/>
      <c r="L4" s="68">
        <f>K4+ноябрь!L4</f>
        <v>0</v>
      </c>
      <c r="M4" s="24">
        <f>L4-J4</f>
        <v>0</v>
      </c>
    </row>
    <row r="5" spans="1:13" ht="15" customHeight="1">
      <c r="A5" s="1">
        <f t="shared" ref="A5:A22" si="1">A4+1</f>
        <v>3</v>
      </c>
      <c r="B5" s="34" t="str">
        <f>ноябрь!B5</f>
        <v>Горячее водоснабжение</v>
      </c>
      <c r="C5" s="57">
        <f>30725.28+127253.45</f>
        <v>157978.72999999998</v>
      </c>
      <c r="D5" s="66">
        <f>C5+ноябрь!D5</f>
        <v>1900267.0599999998</v>
      </c>
      <c r="E5" s="67">
        <f>38560.77+148066.23</f>
        <v>186627</v>
      </c>
      <c r="F5" s="66">
        <f>E5+ноябрь!F5</f>
        <v>1813142.7000000002</v>
      </c>
      <c r="G5" s="66">
        <f t="shared" si="0"/>
        <v>28648.270000000019</v>
      </c>
      <c r="H5" s="68">
        <f t="shared" si="0"/>
        <v>-87124.359999999637</v>
      </c>
      <c r="I5" s="67"/>
      <c r="J5" s="68">
        <f>I5+ноябрь!J5</f>
        <v>0</v>
      </c>
      <c r="K5" s="69"/>
      <c r="L5" s="68">
        <f>K5+ноябрь!L5</f>
        <v>0</v>
      </c>
    </row>
    <row r="6" spans="1:13" ht="15" customHeight="1">
      <c r="A6" s="1">
        <f t="shared" si="1"/>
        <v>4</v>
      </c>
      <c r="B6" s="34" t="str">
        <f>ноябрь!B6</f>
        <v>Сод.и ремонт АППЗ</v>
      </c>
      <c r="C6" s="57">
        <f>428.76+2363.83</f>
        <v>2792.59</v>
      </c>
      <c r="D6" s="66">
        <f>C6+ноябрь!D6</f>
        <v>33652.840000000004</v>
      </c>
      <c r="E6" s="67">
        <f>493.24+2594.94</f>
        <v>3088.1800000000003</v>
      </c>
      <c r="F6" s="66">
        <f>E6+ноябрь!F6</f>
        <v>32812.009999999995</v>
      </c>
      <c r="G6" s="66">
        <f t="shared" si="0"/>
        <v>295.59000000000015</v>
      </c>
      <c r="H6" s="68">
        <f t="shared" si="0"/>
        <v>-840.83000000000902</v>
      </c>
      <c r="I6" s="67"/>
      <c r="J6" s="68">
        <f>I6+ноябрь!J6</f>
        <v>0</v>
      </c>
      <c r="K6" s="69"/>
      <c r="L6" s="68">
        <f>K6+ноябрь!L6</f>
        <v>0</v>
      </c>
    </row>
    <row r="7" spans="1:13" ht="15" customHeight="1">
      <c r="A7" s="1">
        <f t="shared" si="1"/>
        <v>5</v>
      </c>
      <c r="B7" s="34" t="str">
        <f>ноябрь!B7</f>
        <v>Сод.и ремонт лифтов</v>
      </c>
      <c r="C7" s="57">
        <f>2874.52+15646.21</f>
        <v>18520.73</v>
      </c>
      <c r="D7" s="66">
        <f>C7+ноябрь!D7</f>
        <v>223129.13999999998</v>
      </c>
      <c r="E7" s="67">
        <f>3321.05+17159.95</f>
        <v>20481</v>
      </c>
      <c r="F7" s="66">
        <f>E7+ноябрь!F7</f>
        <v>220579.31</v>
      </c>
      <c r="G7" s="66">
        <f t="shared" si="0"/>
        <v>1960.2700000000004</v>
      </c>
      <c r="H7" s="68">
        <f t="shared" si="0"/>
        <v>-2549.8299999999872</v>
      </c>
      <c r="I7" s="67"/>
      <c r="J7" s="68">
        <f>I7+ноябрь!J7</f>
        <v>0</v>
      </c>
      <c r="K7" s="69"/>
      <c r="L7" s="68">
        <f>K7+ноябрь!L7</f>
        <v>0</v>
      </c>
    </row>
    <row r="8" spans="1:13" ht="15" customHeight="1">
      <c r="A8" s="1">
        <f t="shared" si="1"/>
        <v>6</v>
      </c>
      <c r="B8" s="34" t="str">
        <f>ноябрь!B8</f>
        <v>Очистка мусоропроводов</v>
      </c>
      <c r="C8" s="57">
        <f>1549.3+8184.51</f>
        <v>9733.81</v>
      </c>
      <c r="D8" s="66">
        <f>C8+ноябрь!D8</f>
        <v>111141.97999999998</v>
      </c>
      <c r="E8" s="67">
        <f>1771.25+8770.38</f>
        <v>10541.63</v>
      </c>
      <c r="F8" s="66">
        <f>E8+ноябрь!F8</f>
        <v>106613.60999999999</v>
      </c>
      <c r="G8" s="66">
        <f t="shared" si="0"/>
        <v>807.81999999999971</v>
      </c>
      <c r="H8" s="68">
        <f t="shared" si="0"/>
        <v>-4528.3699999999953</v>
      </c>
      <c r="I8" s="67"/>
      <c r="J8" s="68">
        <f>I8+ноябрь!J8</f>
        <v>0</v>
      </c>
      <c r="K8" s="69"/>
      <c r="L8" s="68">
        <f>K8+ноябрь!L8</f>
        <v>0</v>
      </c>
    </row>
    <row r="9" spans="1:13" ht="15" customHeight="1">
      <c r="A9" s="1">
        <f t="shared" si="1"/>
        <v>7</v>
      </c>
      <c r="B9" s="34" t="str">
        <f>ноябрь!B9</f>
        <v>Уборка и сан.очистка зем.уч.</v>
      </c>
      <c r="C9" s="57">
        <f>1831.88+10100.05</f>
        <v>11931.93</v>
      </c>
      <c r="D9" s="66">
        <f>C9+ноябрь!D9</f>
        <v>141990.79</v>
      </c>
      <c r="E9" s="67">
        <f>2100.61+11075.92</f>
        <v>13176.53</v>
      </c>
      <c r="F9" s="66">
        <f>E9+ноябрь!F9</f>
        <v>136610.57999999999</v>
      </c>
      <c r="G9" s="66">
        <f t="shared" si="0"/>
        <v>1244.6000000000004</v>
      </c>
      <c r="H9" s="68">
        <f t="shared" si="0"/>
        <v>-5380.210000000021</v>
      </c>
      <c r="I9" s="67"/>
      <c r="J9" s="68">
        <f>I9+ноябрь!J9</f>
        <v>0</v>
      </c>
      <c r="K9" s="69"/>
      <c r="L9" s="68">
        <f>K9+ноябрь!L9</f>
        <v>0</v>
      </c>
    </row>
    <row r="10" spans="1:13" ht="15" customHeight="1">
      <c r="A10" s="1">
        <f t="shared" si="1"/>
        <v>8</v>
      </c>
      <c r="B10" s="34" t="str">
        <f>ноябрь!B10</f>
        <v>Холодная вода</v>
      </c>
      <c r="C10" s="57">
        <f>12438.24+51204.79</f>
        <v>63643.03</v>
      </c>
      <c r="D10" s="66">
        <f>C10+ноябрь!D10</f>
        <v>757119.95</v>
      </c>
      <c r="E10" s="67">
        <f>15567.27+58422.16</f>
        <v>73989.430000000008</v>
      </c>
      <c r="F10" s="66">
        <f>E10+ноябрь!F10</f>
        <v>716523.35000000009</v>
      </c>
      <c r="G10" s="66">
        <f t="shared" si="0"/>
        <v>10346.400000000009</v>
      </c>
      <c r="H10" s="68">
        <f t="shared" si="0"/>
        <v>-40596.59999999986</v>
      </c>
      <c r="I10" s="67"/>
      <c r="J10" s="68">
        <f>I10+ноябрь!J10</f>
        <v>0</v>
      </c>
      <c r="K10" s="69"/>
      <c r="L10" s="68">
        <f>K10+ноябрь!L10</f>
        <v>0</v>
      </c>
    </row>
    <row r="11" spans="1:13" ht="15" customHeight="1">
      <c r="A11" s="1">
        <f t="shared" si="1"/>
        <v>9</v>
      </c>
      <c r="B11" s="34" t="str">
        <f>ноябрь!B11</f>
        <v>Канализир.х.воды</v>
      </c>
      <c r="C11" s="57">
        <v>0</v>
      </c>
      <c r="D11" s="66">
        <f>C11+ноябрь!D11</f>
        <v>0</v>
      </c>
      <c r="E11" s="67">
        <v>0</v>
      </c>
      <c r="F11" s="66">
        <f>E11+ноябрь!F11</f>
        <v>1517.04</v>
      </c>
      <c r="G11" s="66">
        <f t="shared" si="0"/>
        <v>0</v>
      </c>
      <c r="H11" s="68">
        <f t="shared" si="0"/>
        <v>1517.04</v>
      </c>
      <c r="I11" s="67"/>
      <c r="J11" s="68">
        <f>I11+ноябрь!J11</f>
        <v>0</v>
      </c>
      <c r="K11" s="69"/>
      <c r="L11" s="68">
        <f>K11+ноябрь!L11</f>
        <v>0</v>
      </c>
    </row>
    <row r="12" spans="1:13" ht="15" customHeight="1">
      <c r="A12" s="1">
        <f t="shared" si="1"/>
        <v>10</v>
      </c>
      <c r="B12" s="34" t="str">
        <f>ноябрь!B12</f>
        <v>Канализир.г.воды</v>
      </c>
      <c r="C12" s="57">
        <v>0</v>
      </c>
      <c r="D12" s="66">
        <f>C12+ноябрь!D12</f>
        <v>0</v>
      </c>
      <c r="E12" s="67">
        <v>0</v>
      </c>
      <c r="F12" s="66">
        <f>E12+ноябрь!F12</f>
        <v>1034.99</v>
      </c>
      <c r="G12" s="66">
        <f t="shared" si="0"/>
        <v>0</v>
      </c>
      <c r="H12" s="68">
        <f t="shared" si="0"/>
        <v>1034.99</v>
      </c>
      <c r="I12" s="67"/>
      <c r="J12" s="68">
        <f>I12+ноябрь!J12</f>
        <v>0</v>
      </c>
      <c r="K12" s="69"/>
      <c r="L12" s="68">
        <f>K12+ноябрь!L12</f>
        <v>0</v>
      </c>
    </row>
    <row r="13" spans="1:13" ht="15" customHeight="1">
      <c r="A13" s="1">
        <f t="shared" si="1"/>
        <v>11</v>
      </c>
      <c r="B13" s="34" t="str">
        <f>ноябрь!B13</f>
        <v>Тек.рем.общ.имущ.дома</v>
      </c>
      <c r="C13" s="57">
        <f>6051.1+33362.47</f>
        <v>39413.57</v>
      </c>
      <c r="D13" s="66">
        <f>C13+ноябрь!D13</f>
        <v>475071.82000000012</v>
      </c>
      <c r="E13" s="67">
        <f>6955.11+36618.53</f>
        <v>43573.64</v>
      </c>
      <c r="F13" s="66">
        <f>E13+ноябрь!F13</f>
        <v>462398.87000000005</v>
      </c>
      <c r="G13" s="66">
        <f t="shared" si="0"/>
        <v>4160.07</v>
      </c>
      <c r="H13" s="68">
        <f t="shared" si="0"/>
        <v>-12672.95000000007</v>
      </c>
      <c r="I13" s="67"/>
      <c r="J13" s="68">
        <f>I13+ноябрь!J13</f>
        <v>0</v>
      </c>
      <c r="K13" s="69"/>
      <c r="L13" s="68">
        <f>K13+ноябрь!L13</f>
        <v>0</v>
      </c>
    </row>
    <row r="14" spans="1:13" ht="15" customHeight="1">
      <c r="A14" s="1">
        <f t="shared" si="1"/>
        <v>12</v>
      </c>
      <c r="B14" s="34" t="str">
        <f>ноябрь!B14</f>
        <v>Управление многокв.домом</v>
      </c>
      <c r="C14" s="57">
        <f>2923.23+16117.14</f>
        <v>19040.37</v>
      </c>
      <c r="D14" s="66">
        <f>C14+ноябрь!D14</f>
        <v>213009.98</v>
      </c>
      <c r="E14" s="67">
        <f>3330.66+17605.22</f>
        <v>20935.88</v>
      </c>
      <c r="F14" s="66">
        <f>E14+ноябрь!F14</f>
        <v>201493.80000000002</v>
      </c>
      <c r="G14" s="66">
        <f t="shared" si="0"/>
        <v>1895.510000000002</v>
      </c>
      <c r="H14" s="68">
        <f t="shared" si="0"/>
        <v>-11516.179999999993</v>
      </c>
      <c r="I14" s="67"/>
      <c r="J14" s="68">
        <f>I14+ноябрь!J14</f>
        <v>0</v>
      </c>
      <c r="K14" s="69"/>
      <c r="L14" s="68">
        <f>K14+ноябрь!L14</f>
        <v>0</v>
      </c>
    </row>
    <row r="15" spans="1:13" ht="15" customHeight="1">
      <c r="A15" s="1">
        <f t="shared" si="1"/>
        <v>13</v>
      </c>
      <c r="B15" s="34" t="str">
        <f>ноябрь!B15</f>
        <v>Водоотведение(кв)</v>
      </c>
      <c r="C15" s="57">
        <f>21264.24+87758.83</f>
        <v>109023.07</v>
      </c>
      <c r="D15" s="66">
        <f>C15+ноябрь!D15</f>
        <v>1294365.22</v>
      </c>
      <c r="E15" s="67">
        <f>26590.56+100959.62</f>
        <v>127550.18</v>
      </c>
      <c r="F15" s="66">
        <f>E15+ноябрь!F15</f>
        <v>1224625.7</v>
      </c>
      <c r="G15" s="66">
        <f t="shared" si="0"/>
        <v>18527.109999999986</v>
      </c>
      <c r="H15" s="68">
        <f t="shared" si="0"/>
        <v>-69739.520000000019</v>
      </c>
      <c r="I15" s="67"/>
      <c r="J15" s="68">
        <f>I15+ноябрь!J15</f>
        <v>0</v>
      </c>
      <c r="K15" s="69"/>
      <c r="L15" s="68">
        <f>K15+ноябрь!L15</f>
        <v>0</v>
      </c>
    </row>
    <row r="16" spans="1:13" ht="15" customHeight="1">
      <c r="A16" s="1">
        <f t="shared" si="1"/>
        <v>14</v>
      </c>
      <c r="B16" s="34" t="str">
        <f>ноябрь!B16</f>
        <v>Электроснабж.на общед.нужды</v>
      </c>
      <c r="C16" s="57">
        <f>1170.73+6375.29</f>
        <v>7546.02</v>
      </c>
      <c r="D16" s="66">
        <f>C16+ноябрь!D16</f>
        <v>80886.17</v>
      </c>
      <c r="E16" s="67">
        <f>1061.55+5766.06</f>
        <v>6827.6100000000006</v>
      </c>
      <c r="F16" s="66">
        <f>E16+ноябрь!F16</f>
        <v>77956.2</v>
      </c>
      <c r="G16" s="66">
        <f t="shared" si="0"/>
        <v>-718.40999999999985</v>
      </c>
      <c r="H16" s="68">
        <f t="shared" si="0"/>
        <v>-2929.9700000000012</v>
      </c>
      <c r="I16" s="67"/>
      <c r="J16" s="68">
        <f>I16+ноябрь!J16</f>
        <v>0</v>
      </c>
      <c r="K16" s="69"/>
      <c r="L16" s="68">
        <f>K16+ноябрь!L16</f>
        <v>0</v>
      </c>
    </row>
    <row r="17" spans="1:13" ht="15" customHeight="1">
      <c r="A17" s="1">
        <f t="shared" si="1"/>
        <v>15</v>
      </c>
      <c r="B17" s="34" t="str">
        <f>ноябрь!B17</f>
        <v>Эксплуатация общедом.ПУ</v>
      </c>
      <c r="C17" s="57">
        <f>643.1+3545.84</f>
        <v>4188.9400000000005</v>
      </c>
      <c r="D17" s="66">
        <f>C17+ноябрь!D17</f>
        <v>51897.390000000014</v>
      </c>
      <c r="E17" s="67">
        <f>739.35+3892.3</f>
        <v>4631.6500000000005</v>
      </c>
      <c r="F17" s="66">
        <f>E17+ноябрь!F17</f>
        <v>52379.80999999999</v>
      </c>
      <c r="G17" s="66">
        <f t="shared" si="0"/>
        <v>442.71000000000004</v>
      </c>
      <c r="H17" s="68">
        <f t="shared" si="0"/>
        <v>482.41999999997643</v>
      </c>
      <c r="I17" s="67"/>
      <c r="J17" s="68">
        <f>I17+ноябрь!J17</f>
        <v>0</v>
      </c>
      <c r="K17" s="69"/>
      <c r="L17" s="68">
        <f>K17+ноябрь!L17</f>
        <v>0</v>
      </c>
    </row>
    <row r="18" spans="1:13" ht="15" customHeight="1">
      <c r="A18" s="1">
        <f t="shared" si="1"/>
        <v>16</v>
      </c>
      <c r="B18" s="34" t="str">
        <f>ноябрь!B18</f>
        <v>Водоотведение(о/д нужды)</v>
      </c>
      <c r="C18" s="57">
        <v>0</v>
      </c>
      <c r="D18" s="66">
        <f>C18+ноябрь!D18</f>
        <v>0</v>
      </c>
      <c r="E18" s="67">
        <v>0</v>
      </c>
      <c r="F18" s="66">
        <f>E18+ноябрь!F18</f>
        <v>-311.07000000000005</v>
      </c>
      <c r="G18" s="66">
        <f t="shared" si="0"/>
        <v>0</v>
      </c>
      <c r="H18" s="68">
        <f t="shared" si="0"/>
        <v>-311.07000000000005</v>
      </c>
      <c r="I18" s="67"/>
      <c r="J18" s="68">
        <f>I18+ноябрь!J18</f>
        <v>0</v>
      </c>
      <c r="K18" s="69"/>
      <c r="L18" s="68">
        <f>K18+ноябрь!L18</f>
        <v>0</v>
      </c>
    </row>
    <row r="19" spans="1:13" ht="15" customHeight="1">
      <c r="A19" s="1">
        <f t="shared" si="1"/>
        <v>17</v>
      </c>
      <c r="B19" s="34" t="str">
        <f>ноябрь!B19</f>
        <v>Отопление (о/д нужды)</v>
      </c>
      <c r="C19" s="57">
        <v>0</v>
      </c>
      <c r="D19" s="66">
        <f>C19+ноябрь!D19</f>
        <v>0</v>
      </c>
      <c r="E19" s="67">
        <v>0</v>
      </c>
      <c r="F19" s="66">
        <f>E19+ноябрь!F19</f>
        <v>762</v>
      </c>
      <c r="G19" s="66">
        <f t="shared" si="0"/>
        <v>0</v>
      </c>
      <c r="H19" s="68">
        <f t="shared" si="0"/>
        <v>762</v>
      </c>
      <c r="I19" s="67"/>
      <c r="J19" s="68">
        <f>I19+ноябрь!J19</f>
        <v>0</v>
      </c>
      <c r="K19" s="69"/>
      <c r="L19" s="68">
        <f>K19+ноябрь!L19</f>
        <v>0</v>
      </c>
    </row>
    <row r="20" spans="1:13" ht="15" customHeight="1">
      <c r="A20" s="1">
        <f t="shared" si="1"/>
        <v>18</v>
      </c>
      <c r="B20" s="34" t="str">
        <f>ноябрь!B20</f>
        <v>Гор.водоснабж.(о/д нужды)</v>
      </c>
      <c r="C20" s="57">
        <f>759.45+4189.16+802.79</f>
        <v>5751.4</v>
      </c>
      <c r="D20" s="66">
        <f>C20+ноябрь!D20</f>
        <v>60813.279999999999</v>
      </c>
      <c r="E20" s="67">
        <f>871.78+4589.04+546.8</f>
        <v>6007.62</v>
      </c>
      <c r="F20" s="66">
        <f>E20+ноябрь!F20</f>
        <v>60131.284000000007</v>
      </c>
      <c r="G20" s="66">
        <f t="shared" si="0"/>
        <v>256.22000000000025</v>
      </c>
      <c r="H20" s="68">
        <f t="shared" si="0"/>
        <v>-681.99599999999191</v>
      </c>
      <c r="I20" s="67"/>
      <c r="J20" s="68">
        <f>I20+ноябрь!J20</f>
        <v>0</v>
      </c>
      <c r="K20" s="69"/>
      <c r="L20" s="68">
        <f>K20+ноябрь!L20</f>
        <v>0</v>
      </c>
    </row>
    <row r="21" spans="1:13" ht="15" customHeight="1">
      <c r="A21" s="1">
        <f t="shared" si="1"/>
        <v>19</v>
      </c>
      <c r="B21" s="34" t="str">
        <f>ноябрь!B21</f>
        <v>Холодн водосн о/д нужды</v>
      </c>
      <c r="C21" s="57">
        <f>351.68+1942.98</f>
        <v>2294.66</v>
      </c>
      <c r="D21" s="66">
        <f>C21+ноябрь!D21</f>
        <v>26782.030000000002</v>
      </c>
      <c r="E21" s="67">
        <f>404.71+2137.94</f>
        <v>2542.65</v>
      </c>
      <c r="F21" s="66">
        <f>E21+ноябрь!F21</f>
        <v>26772.25</v>
      </c>
      <c r="G21" s="66">
        <f t="shared" si="0"/>
        <v>247.99000000000024</v>
      </c>
      <c r="H21" s="68">
        <f t="shared" si="0"/>
        <v>-9.7800000000024738</v>
      </c>
      <c r="I21" s="67"/>
      <c r="J21" s="68">
        <f>I21+ноябрь!J21</f>
        <v>0</v>
      </c>
      <c r="K21" s="69"/>
      <c r="L21" s="68">
        <f>K21+ноябрь!L21</f>
        <v>0</v>
      </c>
    </row>
    <row r="22" spans="1:13" ht="15" customHeight="1">
      <c r="A22" s="1">
        <f t="shared" si="1"/>
        <v>20</v>
      </c>
      <c r="B22" s="34">
        <f>ноябрь!B22</f>
        <v>0</v>
      </c>
      <c r="C22" s="57">
        <v>0</v>
      </c>
      <c r="D22" s="66">
        <f>C22+ноябрь!D22</f>
        <v>0</v>
      </c>
      <c r="E22" s="67">
        <v>0</v>
      </c>
      <c r="F22" s="66">
        <f>E22+ноябрь!F22</f>
        <v>0</v>
      </c>
      <c r="G22" s="66">
        <f t="shared" si="0"/>
        <v>0</v>
      </c>
      <c r="H22" s="68">
        <f t="shared" si="0"/>
        <v>0</v>
      </c>
      <c r="I22" s="67"/>
      <c r="J22" s="68">
        <f>I22+ноябрь!J22</f>
        <v>0</v>
      </c>
      <c r="K22" s="69"/>
      <c r="L22" s="68">
        <f>K22+ноябрь!L22</f>
        <v>0</v>
      </c>
    </row>
    <row r="23" spans="1:13" ht="15" customHeight="1">
      <c r="A23" s="21"/>
      <c r="B23" s="55" t="s">
        <v>12</v>
      </c>
      <c r="C23" s="65">
        <f t="shared" ref="C23:L23" si="2">SUM(C3:C22)</f>
        <v>941527.95000000019</v>
      </c>
      <c r="D23" s="65">
        <f t="shared" si="2"/>
        <v>8512974.2999999989</v>
      </c>
      <c r="E23" s="61">
        <f t="shared" si="2"/>
        <v>781000.31</v>
      </c>
      <c r="F23" s="65">
        <f t="shared" si="2"/>
        <v>8119239.1339999996</v>
      </c>
      <c r="G23" s="65">
        <f t="shared" si="2"/>
        <v>-160527.64000000004</v>
      </c>
      <c r="H23" s="61">
        <f t="shared" si="2"/>
        <v>-393735.16599999933</v>
      </c>
      <c r="I23" s="61">
        <f t="shared" si="2"/>
        <v>0</v>
      </c>
      <c r="J23" s="61">
        <f t="shared" si="2"/>
        <v>0</v>
      </c>
      <c r="K23" s="65">
        <f t="shared" si="2"/>
        <v>0</v>
      </c>
      <c r="L23" s="65">
        <f t="shared" si="2"/>
        <v>0</v>
      </c>
    </row>
    <row r="24" spans="1:13" ht="15" customHeight="1">
      <c r="A24" s="47"/>
      <c r="B24" s="48"/>
      <c r="C24" s="62"/>
      <c r="D24" s="62"/>
      <c r="E24" s="63"/>
      <c r="F24" s="62"/>
      <c r="G24" s="62"/>
      <c r="H24" s="63"/>
      <c r="I24" s="63"/>
      <c r="J24" s="63"/>
      <c r="K24" s="62"/>
      <c r="L24" s="62"/>
      <c r="M24" s="51"/>
    </row>
    <row r="25" spans="1:13" ht="18" customHeight="1">
      <c r="B25" s="41" t="s">
        <v>34</v>
      </c>
      <c r="C25" s="70">
        <f t="shared" ref="C25:H25" si="3">C3+C6+C7+C8+C9+C13+C14+C17</f>
        <v>184639.63</v>
      </c>
      <c r="D25" s="70">
        <f t="shared" si="3"/>
        <v>2180396.7600000002</v>
      </c>
      <c r="E25" s="70">
        <f t="shared" si="3"/>
        <v>203648.29</v>
      </c>
      <c r="F25" s="70">
        <f t="shared" si="3"/>
        <v>2110350.2100000004</v>
      </c>
      <c r="G25" s="70">
        <f t="shared" si="3"/>
        <v>19008.659999999996</v>
      </c>
      <c r="H25" s="70">
        <f t="shared" si="3"/>
        <v>-70046.549999999726</v>
      </c>
      <c r="I25" s="71"/>
      <c r="J25" s="71"/>
      <c r="K25" s="64"/>
      <c r="L25" s="64"/>
    </row>
    <row r="26" spans="1:13" ht="10.5" customHeight="1">
      <c r="C26" s="71"/>
      <c r="D26" s="71"/>
      <c r="E26" s="71"/>
      <c r="F26" s="71"/>
      <c r="G26" s="71"/>
      <c r="H26" s="71"/>
      <c r="I26" s="71"/>
      <c r="J26" s="71"/>
      <c r="K26" s="64"/>
      <c r="L26" s="64"/>
    </row>
    <row r="27" spans="1:13">
      <c r="B27" s="39" t="s">
        <v>35</v>
      </c>
      <c r="C27" s="70">
        <f>C10+C11+C12+C15+C18+C21</f>
        <v>174960.76</v>
      </c>
      <c r="D27" s="70">
        <f t="shared" ref="D27:J27" si="4">D10+D11+D12+D15+D18+D21</f>
        <v>2078267.2</v>
      </c>
      <c r="E27" s="70">
        <f t="shared" si="4"/>
        <v>204082.25999999998</v>
      </c>
      <c r="F27" s="70">
        <f t="shared" si="4"/>
        <v>1970162.26</v>
      </c>
      <c r="G27" s="70">
        <f t="shared" si="4"/>
        <v>29121.499999999996</v>
      </c>
      <c r="H27" s="70">
        <f t="shared" si="4"/>
        <v>-108104.93999999989</v>
      </c>
      <c r="I27" s="70">
        <f t="shared" si="4"/>
        <v>0</v>
      </c>
      <c r="J27" s="70">
        <f t="shared" si="4"/>
        <v>0</v>
      </c>
      <c r="K27" s="64"/>
      <c r="L27" s="64"/>
    </row>
    <row r="28" spans="1:13">
      <c r="B28" s="39" t="s">
        <v>36</v>
      </c>
      <c r="C28" s="70">
        <f>C16</f>
        <v>7546.02</v>
      </c>
      <c r="D28" s="70">
        <f>D16</f>
        <v>80886.17</v>
      </c>
      <c r="E28" s="70">
        <f t="shared" ref="E28:H28" si="5">E16</f>
        <v>6827.6100000000006</v>
      </c>
      <c r="F28" s="70">
        <f t="shared" si="5"/>
        <v>77956.2</v>
      </c>
      <c r="G28" s="70">
        <f t="shared" si="5"/>
        <v>-718.40999999999985</v>
      </c>
      <c r="H28" s="70">
        <f t="shared" si="5"/>
        <v>-2929.9700000000012</v>
      </c>
      <c r="I28" s="70">
        <f t="shared" ref="I28:J28" si="6">I16</f>
        <v>0</v>
      </c>
      <c r="J28" s="70">
        <f t="shared" si="6"/>
        <v>0</v>
      </c>
      <c r="K28" s="64"/>
      <c r="L28" s="64"/>
    </row>
    <row r="29" spans="1:13">
      <c r="B29" s="39" t="s">
        <v>37</v>
      </c>
      <c r="C29" s="70">
        <f>C4+C5+C19+C20</f>
        <v>574381.54</v>
      </c>
      <c r="D29" s="70">
        <f>D4+D5+D19+D20</f>
        <v>4173424.1699999995</v>
      </c>
      <c r="E29" s="70">
        <f t="shared" ref="E29:H29" si="7">E4+E5+E19+E20</f>
        <v>366442.15</v>
      </c>
      <c r="F29" s="70">
        <f t="shared" si="7"/>
        <v>3960770.4640000002</v>
      </c>
      <c r="G29" s="70">
        <f t="shared" si="7"/>
        <v>-207939.39</v>
      </c>
      <c r="H29" s="70">
        <f t="shared" si="7"/>
        <v>-212653.70599999971</v>
      </c>
      <c r="I29" s="70">
        <f t="shared" ref="I29:J29" si="8">I4+I5+I19+I20</f>
        <v>0</v>
      </c>
      <c r="J29" s="70">
        <f t="shared" si="8"/>
        <v>0</v>
      </c>
      <c r="K29" s="64"/>
      <c r="L29" s="64"/>
    </row>
    <row r="30" spans="1:13">
      <c r="C30" s="71"/>
      <c r="D30" s="71"/>
      <c r="E30" s="71"/>
      <c r="F30" s="71"/>
      <c r="G30" s="71"/>
      <c r="H30" s="71"/>
      <c r="I30" s="71"/>
      <c r="J30" s="71"/>
      <c r="K30" s="64"/>
      <c r="L30" s="64"/>
    </row>
    <row r="31" spans="1:13">
      <c r="C31" s="71"/>
      <c r="D31" s="71"/>
      <c r="E31" s="71"/>
      <c r="F31" s="71"/>
      <c r="G31" s="71"/>
      <c r="H31" s="71"/>
      <c r="I31" s="71"/>
      <c r="J31" s="71"/>
      <c r="K31" s="64"/>
      <c r="L31" s="64"/>
    </row>
    <row r="32" spans="1:13">
      <c r="C32" s="72">
        <f>160732.41+780795.54</f>
        <v>941527.95000000007</v>
      </c>
      <c r="D32" s="72"/>
      <c r="E32" s="71">
        <f>143060.89+637939.42</f>
        <v>781000.31</v>
      </c>
      <c r="F32" s="71"/>
      <c r="G32" s="71"/>
      <c r="H32" s="71"/>
      <c r="I32" s="71"/>
      <c r="J32" s="71"/>
      <c r="K32" s="64"/>
      <c r="L32" s="64"/>
    </row>
    <row r="33" spans="3:12">
      <c r="C33" s="72"/>
      <c r="D33" s="72"/>
      <c r="E33" s="71"/>
      <c r="F33" s="71"/>
      <c r="G33" s="71"/>
      <c r="H33" s="71"/>
      <c r="I33" s="71"/>
      <c r="J33" s="71"/>
      <c r="K33" s="64"/>
      <c r="L33" s="64"/>
    </row>
    <row r="34" spans="3:12">
      <c r="C34" s="73"/>
      <c r="D34" s="73"/>
      <c r="E34" s="74"/>
      <c r="F34" s="74"/>
      <c r="G34" s="74"/>
      <c r="H34" s="74"/>
      <c r="I34" s="74"/>
      <c r="J34" s="74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37"/>
  <sheetViews>
    <sheetView workbookViewId="0">
      <selection activeCell="L30" sqref="L30"/>
    </sheetView>
  </sheetViews>
  <sheetFormatPr defaultRowHeight="12.75"/>
  <cols>
    <col min="1" max="1" width="3.7109375" customWidth="1"/>
    <col min="2" max="2" width="28.5703125" customWidth="1"/>
    <col min="3" max="3" width="12.85546875" customWidth="1"/>
    <col min="4" max="4" width="14.42578125" customWidth="1"/>
    <col min="5" max="5" width="15" customWidth="1"/>
    <col min="6" max="6" width="14.140625" customWidth="1"/>
    <col min="7" max="7" width="11.28515625" customWidth="1"/>
    <col min="8" max="8" width="14.85546875" customWidth="1"/>
    <col min="9" max="9" width="10.140625" bestFit="1" customWidth="1"/>
    <col min="10" max="10" width="11.140625" customWidth="1"/>
    <col min="11" max="11" width="10.42578125" customWidth="1"/>
    <col min="12" max="12" width="12.5703125" customWidth="1"/>
    <col min="13" max="13" width="10.85546875" customWidth="1"/>
  </cols>
  <sheetData>
    <row r="1" spans="1:13" ht="22.5" customHeight="1">
      <c r="B1" s="11" t="s">
        <v>39</v>
      </c>
      <c r="C1" s="11"/>
      <c r="D1" s="11" t="s">
        <v>52</v>
      </c>
    </row>
    <row r="2" spans="1:13" s="33" customFormat="1" ht="38.25">
      <c r="A2" s="27" t="s">
        <v>0</v>
      </c>
      <c r="B2" s="28" t="s">
        <v>1</v>
      </c>
      <c r="C2" s="29" t="s">
        <v>2</v>
      </c>
      <c r="D2" s="30" t="s">
        <v>3</v>
      </c>
      <c r="E2" s="31" t="s">
        <v>4</v>
      </c>
      <c r="F2" s="30" t="s">
        <v>5</v>
      </c>
      <c r="G2" s="30" t="s">
        <v>6</v>
      </c>
      <c r="H2" s="32" t="s">
        <v>7</v>
      </c>
      <c r="I2" s="31" t="s">
        <v>8</v>
      </c>
      <c r="J2" s="32" t="s">
        <v>9</v>
      </c>
      <c r="K2" s="28" t="s">
        <v>10</v>
      </c>
      <c r="L2" s="30" t="s">
        <v>11</v>
      </c>
    </row>
    <row r="3" spans="1:13" ht="15" customHeight="1">
      <c r="A3" s="1">
        <v>1</v>
      </c>
      <c r="B3" s="34" t="str">
        <f>ноябрь!B3</f>
        <v>Содержание общ.имущ.дома</v>
      </c>
      <c r="C3" s="57"/>
      <c r="D3" s="58">
        <f>C3+декабрь18!D3</f>
        <v>930502.81999999983</v>
      </c>
      <c r="E3" s="59"/>
      <c r="F3" s="58">
        <f>E3+декабрь18!F3</f>
        <v>897462.2200000002</v>
      </c>
      <c r="G3" s="58">
        <f>E3-C3</f>
        <v>0</v>
      </c>
      <c r="H3" s="60">
        <f>F3-D3</f>
        <v>-33040.599999999627</v>
      </c>
      <c r="I3" s="59"/>
      <c r="J3" s="60">
        <f>I3+декабрь18!J3</f>
        <v>0</v>
      </c>
      <c r="K3" s="59"/>
      <c r="L3" s="60">
        <f>K3+декабрь18!L3</f>
        <v>0</v>
      </c>
    </row>
    <row r="4" spans="1:13" ht="15" customHeight="1">
      <c r="A4" s="1">
        <f>A3+1</f>
        <v>2</v>
      </c>
      <c r="B4" s="34" t="str">
        <f>ноябрь!B4</f>
        <v>Отопление</v>
      </c>
      <c r="C4" s="57"/>
      <c r="D4" s="58">
        <f>C4+декабрь18!D4</f>
        <v>2212343.83</v>
      </c>
      <c r="E4" s="59"/>
      <c r="F4" s="58">
        <f>E4+декабрь18!F4</f>
        <v>2086734.48</v>
      </c>
      <c r="G4" s="58">
        <f t="shared" ref="G4:H22" si="0">E4-C4</f>
        <v>0</v>
      </c>
      <c r="H4" s="60">
        <f t="shared" si="0"/>
        <v>-125609.35000000009</v>
      </c>
      <c r="I4" s="59"/>
      <c r="J4" s="60">
        <f>I4+декабрь18!J4</f>
        <v>0</v>
      </c>
      <c r="K4" s="57"/>
      <c r="L4" s="60">
        <f>K4+декабрь18!L4</f>
        <v>0</v>
      </c>
      <c r="M4" s="24">
        <f>L4-J4</f>
        <v>0</v>
      </c>
    </row>
    <row r="5" spans="1:13" ht="15" customHeight="1">
      <c r="A5" s="1">
        <f t="shared" ref="A5:A22" si="1">A4+1</f>
        <v>3</v>
      </c>
      <c r="B5" s="34" t="str">
        <f>ноябрь!B5</f>
        <v>Горячее водоснабжение</v>
      </c>
      <c r="C5" s="57"/>
      <c r="D5" s="58">
        <f>C5+декабрь18!D5</f>
        <v>1900267.0599999998</v>
      </c>
      <c r="E5" s="59"/>
      <c r="F5" s="58">
        <f>E5+декабрь18!F5</f>
        <v>1813142.7000000002</v>
      </c>
      <c r="G5" s="58">
        <f t="shared" si="0"/>
        <v>0</v>
      </c>
      <c r="H5" s="60">
        <f t="shared" si="0"/>
        <v>-87124.359999999637</v>
      </c>
      <c r="I5" s="59"/>
      <c r="J5" s="60">
        <f>I5+декабрь18!J5</f>
        <v>0</v>
      </c>
      <c r="K5" s="57"/>
      <c r="L5" s="60">
        <f>K5+декабрь18!L5</f>
        <v>0</v>
      </c>
    </row>
    <row r="6" spans="1:13" ht="15" customHeight="1">
      <c r="A6" s="1">
        <f t="shared" si="1"/>
        <v>4</v>
      </c>
      <c r="B6" s="34" t="str">
        <f>ноябрь!B6</f>
        <v>Сод.и ремонт АППЗ</v>
      </c>
      <c r="C6" s="57"/>
      <c r="D6" s="58">
        <f>C6+декабрь18!D6</f>
        <v>33652.840000000004</v>
      </c>
      <c r="E6" s="59"/>
      <c r="F6" s="58">
        <f>E6+декабрь18!F6</f>
        <v>32812.009999999995</v>
      </c>
      <c r="G6" s="58">
        <f t="shared" si="0"/>
        <v>0</v>
      </c>
      <c r="H6" s="60">
        <f t="shared" si="0"/>
        <v>-840.83000000000902</v>
      </c>
      <c r="I6" s="59"/>
      <c r="J6" s="60">
        <f>I6+декабрь18!J6</f>
        <v>0</v>
      </c>
      <c r="K6" s="57"/>
      <c r="L6" s="60">
        <f>K6+декабрь18!L6</f>
        <v>0</v>
      </c>
    </row>
    <row r="7" spans="1:13" ht="15" customHeight="1">
      <c r="A7" s="1">
        <f t="shared" si="1"/>
        <v>5</v>
      </c>
      <c r="B7" s="34" t="str">
        <f>ноябрь!B7</f>
        <v>Сод.и ремонт лифтов</v>
      </c>
      <c r="C7" s="57"/>
      <c r="D7" s="58">
        <f>C7+декабрь18!D7</f>
        <v>223129.13999999998</v>
      </c>
      <c r="E7" s="59"/>
      <c r="F7" s="58">
        <f>E7+декабрь18!F7</f>
        <v>220579.31</v>
      </c>
      <c r="G7" s="58">
        <f t="shared" si="0"/>
        <v>0</v>
      </c>
      <c r="H7" s="60">
        <f t="shared" si="0"/>
        <v>-2549.8299999999872</v>
      </c>
      <c r="I7" s="59"/>
      <c r="J7" s="60">
        <f>I7+декабрь18!J7</f>
        <v>0</v>
      </c>
      <c r="K7" s="57"/>
      <c r="L7" s="60">
        <f>K7+декабрь18!L7</f>
        <v>0</v>
      </c>
    </row>
    <row r="8" spans="1:13" ht="15" customHeight="1">
      <c r="A8" s="1">
        <f t="shared" si="1"/>
        <v>6</v>
      </c>
      <c r="B8" s="34" t="str">
        <f>ноябрь!B8</f>
        <v>Очистка мусоропроводов</v>
      </c>
      <c r="C8" s="57"/>
      <c r="D8" s="58">
        <f>C8+декабрь18!D8</f>
        <v>111141.97999999998</v>
      </c>
      <c r="E8" s="59"/>
      <c r="F8" s="58">
        <f>E8+декабрь18!F8</f>
        <v>106613.60999999999</v>
      </c>
      <c r="G8" s="58">
        <f t="shared" si="0"/>
        <v>0</v>
      </c>
      <c r="H8" s="60">
        <f t="shared" si="0"/>
        <v>-4528.3699999999953</v>
      </c>
      <c r="I8" s="59"/>
      <c r="J8" s="60">
        <f>I8+декабрь18!J8</f>
        <v>0</v>
      </c>
      <c r="K8" s="57"/>
      <c r="L8" s="60">
        <f>K8+декабрь18!L8</f>
        <v>0</v>
      </c>
    </row>
    <row r="9" spans="1:13" ht="15" customHeight="1">
      <c r="A9" s="1">
        <f t="shared" si="1"/>
        <v>7</v>
      </c>
      <c r="B9" s="34" t="str">
        <f>ноябрь!B9</f>
        <v>Уборка и сан.очистка зем.уч.</v>
      </c>
      <c r="C9" s="57"/>
      <c r="D9" s="58">
        <f>C9+декабрь18!D9</f>
        <v>141990.79</v>
      </c>
      <c r="E9" s="59"/>
      <c r="F9" s="58">
        <f>E9+декабрь18!F9</f>
        <v>136610.57999999999</v>
      </c>
      <c r="G9" s="58">
        <f t="shared" si="0"/>
        <v>0</v>
      </c>
      <c r="H9" s="60">
        <f t="shared" si="0"/>
        <v>-5380.210000000021</v>
      </c>
      <c r="I9" s="59"/>
      <c r="J9" s="60">
        <f>I9+декабрь18!J9</f>
        <v>0</v>
      </c>
      <c r="K9" s="57"/>
      <c r="L9" s="60">
        <f>K9+декабрь18!L9</f>
        <v>0</v>
      </c>
    </row>
    <row r="10" spans="1:13" ht="15" customHeight="1">
      <c r="A10" s="1">
        <f t="shared" si="1"/>
        <v>8</v>
      </c>
      <c r="B10" s="34" t="str">
        <f>ноябрь!B10</f>
        <v>Холодная вода</v>
      </c>
      <c r="C10" s="57"/>
      <c r="D10" s="58">
        <f>C10+декабрь18!D10</f>
        <v>757119.95</v>
      </c>
      <c r="E10" s="59"/>
      <c r="F10" s="58">
        <f>E10+декабрь18!F10</f>
        <v>716523.35000000009</v>
      </c>
      <c r="G10" s="58">
        <f t="shared" si="0"/>
        <v>0</v>
      </c>
      <c r="H10" s="60">
        <f t="shared" si="0"/>
        <v>-40596.59999999986</v>
      </c>
      <c r="I10" s="59"/>
      <c r="J10" s="60">
        <f>I10+декабрь18!J10</f>
        <v>0</v>
      </c>
      <c r="K10" s="57"/>
      <c r="L10" s="60">
        <f>K10+декабрь18!L10</f>
        <v>0</v>
      </c>
    </row>
    <row r="11" spans="1:13" ht="15" customHeight="1">
      <c r="A11" s="1">
        <f t="shared" si="1"/>
        <v>9</v>
      </c>
      <c r="B11" s="34" t="str">
        <f>ноябрь!B11</f>
        <v>Канализир.х.воды</v>
      </c>
      <c r="C11" s="57"/>
      <c r="D11" s="58">
        <f>C11+декабрь18!D11</f>
        <v>0</v>
      </c>
      <c r="E11" s="59"/>
      <c r="F11" s="58">
        <f>E11+декабрь18!F11</f>
        <v>1517.04</v>
      </c>
      <c r="G11" s="58">
        <f t="shared" si="0"/>
        <v>0</v>
      </c>
      <c r="H11" s="60">
        <f t="shared" si="0"/>
        <v>1517.04</v>
      </c>
      <c r="I11" s="59"/>
      <c r="J11" s="60">
        <f>I11+декабрь18!J11</f>
        <v>0</v>
      </c>
      <c r="K11" s="57"/>
      <c r="L11" s="60">
        <f>K11+декабрь18!L11</f>
        <v>0</v>
      </c>
    </row>
    <row r="12" spans="1:13" ht="15" customHeight="1">
      <c r="A12" s="1">
        <f t="shared" si="1"/>
        <v>10</v>
      </c>
      <c r="B12" s="34" t="str">
        <f>ноябрь!B12</f>
        <v>Канализир.г.воды</v>
      </c>
      <c r="C12" s="57"/>
      <c r="D12" s="58">
        <f>C12+декабрь18!D12</f>
        <v>0</v>
      </c>
      <c r="E12" s="59"/>
      <c r="F12" s="58">
        <f>E12+декабрь18!F12</f>
        <v>1034.99</v>
      </c>
      <c r="G12" s="58">
        <f t="shared" si="0"/>
        <v>0</v>
      </c>
      <c r="H12" s="60">
        <f t="shared" si="0"/>
        <v>1034.99</v>
      </c>
      <c r="I12" s="59"/>
      <c r="J12" s="60">
        <f>I12+декабрь18!J12</f>
        <v>0</v>
      </c>
      <c r="K12" s="57"/>
      <c r="L12" s="60">
        <f>K12+декабрь18!L12</f>
        <v>0</v>
      </c>
    </row>
    <row r="13" spans="1:13" ht="15" customHeight="1">
      <c r="A13" s="1">
        <f t="shared" si="1"/>
        <v>11</v>
      </c>
      <c r="B13" s="34" t="str">
        <f>ноябрь!B13</f>
        <v>Тек.рем.общ.имущ.дома</v>
      </c>
      <c r="C13" s="57"/>
      <c r="D13" s="58">
        <f>C13+декабрь18!D13</f>
        <v>475071.82000000012</v>
      </c>
      <c r="E13" s="59"/>
      <c r="F13" s="58">
        <f>E13+декабрь18!F13</f>
        <v>462398.87000000005</v>
      </c>
      <c r="G13" s="58">
        <f t="shared" si="0"/>
        <v>0</v>
      </c>
      <c r="H13" s="60">
        <f t="shared" si="0"/>
        <v>-12672.95000000007</v>
      </c>
      <c r="I13" s="59"/>
      <c r="J13" s="60">
        <f>I13+декабрь18!J13</f>
        <v>0</v>
      </c>
      <c r="K13" s="57"/>
      <c r="L13" s="60">
        <f>K13+декабрь18!L13</f>
        <v>0</v>
      </c>
    </row>
    <row r="14" spans="1:13" ht="15" customHeight="1">
      <c r="A14" s="1">
        <f t="shared" si="1"/>
        <v>12</v>
      </c>
      <c r="B14" s="34" t="str">
        <f>ноябрь!B14</f>
        <v>Управление многокв.домом</v>
      </c>
      <c r="C14" s="57"/>
      <c r="D14" s="58">
        <f>C14+декабрь18!D14</f>
        <v>213009.98</v>
      </c>
      <c r="E14" s="59"/>
      <c r="F14" s="58">
        <f>E14+декабрь18!F14</f>
        <v>201493.80000000002</v>
      </c>
      <c r="G14" s="58">
        <f t="shared" si="0"/>
        <v>0</v>
      </c>
      <c r="H14" s="60">
        <f t="shared" si="0"/>
        <v>-11516.179999999993</v>
      </c>
      <c r="I14" s="59"/>
      <c r="J14" s="60">
        <f>I14+декабрь18!J14</f>
        <v>0</v>
      </c>
      <c r="K14" s="57"/>
      <c r="L14" s="60">
        <f>K14+декабрь18!L14</f>
        <v>0</v>
      </c>
    </row>
    <row r="15" spans="1:13" ht="15" customHeight="1">
      <c r="A15" s="1">
        <f t="shared" si="1"/>
        <v>13</v>
      </c>
      <c r="B15" s="34" t="str">
        <f>ноябрь!B15</f>
        <v>Водоотведение(кв)</v>
      </c>
      <c r="C15" s="57"/>
      <c r="D15" s="58">
        <f>C15+декабрь18!D15</f>
        <v>1294365.22</v>
      </c>
      <c r="E15" s="59"/>
      <c r="F15" s="58">
        <f>E15+декабрь18!F15</f>
        <v>1224625.7</v>
      </c>
      <c r="G15" s="58">
        <f t="shared" si="0"/>
        <v>0</v>
      </c>
      <c r="H15" s="60">
        <f t="shared" si="0"/>
        <v>-69739.520000000019</v>
      </c>
      <c r="I15" s="59"/>
      <c r="J15" s="60">
        <f>I15+декабрь18!J15</f>
        <v>0</v>
      </c>
      <c r="K15" s="57"/>
      <c r="L15" s="60">
        <f>K15+декабрь18!L15</f>
        <v>0</v>
      </c>
    </row>
    <row r="16" spans="1:13" ht="15" customHeight="1">
      <c r="A16" s="1">
        <f t="shared" si="1"/>
        <v>14</v>
      </c>
      <c r="B16" s="34" t="str">
        <f>ноябрь!B16</f>
        <v>Электроснабж.на общед.нужды</v>
      </c>
      <c r="C16" s="57"/>
      <c r="D16" s="58">
        <f>C16+декабрь18!D16</f>
        <v>80886.17</v>
      </c>
      <c r="E16" s="59"/>
      <c r="F16" s="58">
        <f>E16+декабрь18!F16</f>
        <v>77956.2</v>
      </c>
      <c r="G16" s="58">
        <f t="shared" si="0"/>
        <v>0</v>
      </c>
      <c r="H16" s="60">
        <f t="shared" si="0"/>
        <v>-2929.9700000000012</v>
      </c>
      <c r="I16" s="59"/>
      <c r="J16" s="60">
        <f>I16+декабрь18!J16</f>
        <v>0</v>
      </c>
      <c r="K16" s="57"/>
      <c r="L16" s="60">
        <f>K16+декабрь18!L16</f>
        <v>0</v>
      </c>
    </row>
    <row r="17" spans="1:13" ht="15" customHeight="1">
      <c r="A17" s="1">
        <f t="shared" si="1"/>
        <v>15</v>
      </c>
      <c r="B17" s="34" t="str">
        <f>ноябрь!B17</f>
        <v>Эксплуатация общедом.ПУ</v>
      </c>
      <c r="C17" s="57"/>
      <c r="D17" s="58">
        <f>C17+декабрь18!D17</f>
        <v>51897.390000000014</v>
      </c>
      <c r="E17" s="59"/>
      <c r="F17" s="58">
        <f>E17+декабрь18!F17</f>
        <v>52379.80999999999</v>
      </c>
      <c r="G17" s="58">
        <f t="shared" si="0"/>
        <v>0</v>
      </c>
      <c r="H17" s="60">
        <f t="shared" si="0"/>
        <v>482.41999999997643</v>
      </c>
      <c r="I17" s="59"/>
      <c r="J17" s="60">
        <f>I17+декабрь18!J17</f>
        <v>0</v>
      </c>
      <c r="K17" s="57"/>
      <c r="L17" s="60">
        <f>K17+декабрь18!L17</f>
        <v>0</v>
      </c>
    </row>
    <row r="18" spans="1:13" ht="15" customHeight="1">
      <c r="A18" s="1">
        <f t="shared" si="1"/>
        <v>16</v>
      </c>
      <c r="B18" s="34" t="str">
        <f>ноябрь!B18</f>
        <v>Водоотведение(о/д нужды)</v>
      </c>
      <c r="C18" s="57"/>
      <c r="D18" s="58">
        <f>C18+декабрь18!D18</f>
        <v>0</v>
      </c>
      <c r="E18" s="59"/>
      <c r="F18" s="58">
        <f>E18+декабрь18!F18</f>
        <v>-311.07000000000005</v>
      </c>
      <c r="G18" s="58">
        <f t="shared" si="0"/>
        <v>0</v>
      </c>
      <c r="H18" s="60">
        <f t="shared" si="0"/>
        <v>-311.07000000000005</v>
      </c>
      <c r="I18" s="59"/>
      <c r="J18" s="60">
        <f>I18+декабрь18!J18</f>
        <v>0</v>
      </c>
      <c r="K18" s="57"/>
      <c r="L18" s="60">
        <f>K18+декабрь18!L18</f>
        <v>0</v>
      </c>
    </row>
    <row r="19" spans="1:13" ht="15" customHeight="1">
      <c r="A19" s="1">
        <f t="shared" si="1"/>
        <v>17</v>
      </c>
      <c r="B19" s="34" t="str">
        <f>ноябрь!B19</f>
        <v>Отопление (о/д нужды)</v>
      </c>
      <c r="C19" s="57"/>
      <c r="D19" s="58">
        <f>C19+декабрь18!D19</f>
        <v>0</v>
      </c>
      <c r="E19" s="59"/>
      <c r="F19" s="58">
        <f>E19+декабрь18!F19</f>
        <v>762</v>
      </c>
      <c r="G19" s="58">
        <f t="shared" si="0"/>
        <v>0</v>
      </c>
      <c r="H19" s="60">
        <f t="shared" si="0"/>
        <v>762</v>
      </c>
      <c r="I19" s="59"/>
      <c r="J19" s="60">
        <f>I19+декабрь18!J19</f>
        <v>0</v>
      </c>
      <c r="K19" s="57"/>
      <c r="L19" s="60">
        <f>K19+декабрь18!L19</f>
        <v>0</v>
      </c>
    </row>
    <row r="20" spans="1:13" ht="15" customHeight="1">
      <c r="A20" s="1">
        <f t="shared" si="1"/>
        <v>18</v>
      </c>
      <c r="B20" s="34" t="str">
        <f>ноябрь!B20</f>
        <v>Гор.водоснабж.(о/д нужды)</v>
      </c>
      <c r="C20" s="57"/>
      <c r="D20" s="58">
        <f>C20+декабрь18!D20</f>
        <v>60813.279999999999</v>
      </c>
      <c r="E20" s="59"/>
      <c r="F20" s="58">
        <f>E20+декабрь18!F20</f>
        <v>60131.284000000007</v>
      </c>
      <c r="G20" s="58">
        <f t="shared" si="0"/>
        <v>0</v>
      </c>
      <c r="H20" s="60">
        <f t="shared" si="0"/>
        <v>-681.99599999999191</v>
      </c>
      <c r="I20" s="59"/>
      <c r="J20" s="60">
        <f>I20+декабрь18!J20</f>
        <v>0</v>
      </c>
      <c r="K20" s="57"/>
      <c r="L20" s="60">
        <f>K20+декабрь18!L20</f>
        <v>0</v>
      </c>
    </row>
    <row r="21" spans="1:13" ht="15" customHeight="1">
      <c r="A21" s="1">
        <f t="shared" si="1"/>
        <v>19</v>
      </c>
      <c r="B21" s="34" t="str">
        <f>ноябрь!B21</f>
        <v>Холодн водосн о/д нужды</v>
      </c>
      <c r="C21" s="57"/>
      <c r="D21" s="58">
        <f>C21+декабрь18!D21</f>
        <v>26782.030000000002</v>
      </c>
      <c r="E21" s="59"/>
      <c r="F21" s="58">
        <f>E21+декабрь18!F21</f>
        <v>26772.25</v>
      </c>
      <c r="G21" s="58">
        <f t="shared" si="0"/>
        <v>0</v>
      </c>
      <c r="H21" s="60">
        <f t="shared" si="0"/>
        <v>-9.7800000000024738</v>
      </c>
      <c r="I21" s="59"/>
      <c r="J21" s="60">
        <f>I21+декабрь18!J21</f>
        <v>0</v>
      </c>
      <c r="K21" s="57"/>
      <c r="L21" s="60">
        <f>K21+декабрь18!L21</f>
        <v>0</v>
      </c>
    </row>
    <row r="22" spans="1:13" ht="15" customHeight="1">
      <c r="A22" s="1">
        <f t="shared" si="1"/>
        <v>20</v>
      </c>
      <c r="B22" s="34">
        <f>ноябрь!B22</f>
        <v>0</v>
      </c>
      <c r="C22" s="57"/>
      <c r="D22" s="58">
        <f>C22+декабрь18!D22</f>
        <v>0</v>
      </c>
      <c r="E22" s="59"/>
      <c r="F22" s="58">
        <f>E22+декабрь18!F22</f>
        <v>0</v>
      </c>
      <c r="G22" s="58">
        <f t="shared" si="0"/>
        <v>0</v>
      </c>
      <c r="H22" s="60">
        <f t="shared" si="0"/>
        <v>0</v>
      </c>
      <c r="I22" s="59"/>
      <c r="J22" s="60">
        <f>I22+декабрь18!J22</f>
        <v>0</v>
      </c>
      <c r="K22" s="57"/>
      <c r="L22" s="60">
        <f>K22+декабрь18!L22</f>
        <v>0</v>
      </c>
    </row>
    <row r="23" spans="1:13" ht="15" customHeight="1">
      <c r="A23" s="21"/>
      <c r="B23" s="56" t="s">
        <v>12</v>
      </c>
      <c r="C23" s="61">
        <f t="shared" ref="C23:L23" si="2">SUM(C3:C22)</f>
        <v>0</v>
      </c>
      <c r="D23" s="61">
        <f>C23+декабрь18!D23</f>
        <v>8512974.2999999989</v>
      </c>
      <c r="E23" s="61">
        <f t="shared" si="2"/>
        <v>0</v>
      </c>
      <c r="F23" s="61">
        <f>E23+декабрь18!F23</f>
        <v>8119239.1339999996</v>
      </c>
      <c r="G23" s="61">
        <f t="shared" si="2"/>
        <v>0</v>
      </c>
      <c r="H23" s="61">
        <f t="shared" si="2"/>
        <v>-393735.16599999933</v>
      </c>
      <c r="I23" s="61">
        <f t="shared" si="2"/>
        <v>0</v>
      </c>
      <c r="J23" s="61">
        <f>I23+декабрь18!J23</f>
        <v>0</v>
      </c>
      <c r="K23" s="61">
        <f t="shared" si="2"/>
        <v>0</v>
      </c>
      <c r="L23" s="61">
        <f>K23+декабрь18!L23</f>
        <v>0</v>
      </c>
    </row>
    <row r="24" spans="1:13" ht="15" customHeight="1">
      <c r="A24" s="47"/>
      <c r="B24" s="48"/>
      <c r="C24" s="49"/>
      <c r="D24" s="49"/>
      <c r="E24" s="50"/>
      <c r="F24" s="49"/>
      <c r="G24" s="49"/>
      <c r="H24" s="50"/>
      <c r="I24" s="50"/>
      <c r="J24" s="50"/>
      <c r="K24" s="49"/>
      <c r="L24" s="49"/>
      <c r="M24" s="51"/>
    </row>
    <row r="25" spans="1:13" ht="15" customHeight="1">
      <c r="A25" s="47"/>
      <c r="B25" s="48"/>
      <c r="C25" s="49"/>
      <c r="D25" s="49"/>
      <c r="E25" s="50"/>
      <c r="F25" s="49"/>
      <c r="G25" s="49"/>
      <c r="H25" s="50"/>
      <c r="I25" s="50"/>
      <c r="J25" s="50"/>
      <c r="K25" s="49"/>
      <c r="L25" s="49"/>
      <c r="M25" s="51"/>
    </row>
    <row r="26" spans="1:13" ht="35.25" customHeight="1"/>
    <row r="27" spans="1:13" hidden="1"/>
    <row r="28" spans="1:13" ht="16.5" customHeight="1">
      <c r="B28" s="41" t="s">
        <v>34</v>
      </c>
      <c r="C28" s="40">
        <f t="shared" ref="C28:H28" si="3">C3+C6+C7+C8+C9+C13+C14+C17</f>
        <v>0</v>
      </c>
      <c r="D28" s="40">
        <f t="shared" si="3"/>
        <v>2180396.7600000002</v>
      </c>
      <c r="E28" s="40">
        <f t="shared" si="3"/>
        <v>0</v>
      </c>
      <c r="F28" s="40">
        <f t="shared" si="3"/>
        <v>2110350.2100000004</v>
      </c>
      <c r="G28" s="40">
        <f t="shared" si="3"/>
        <v>0</v>
      </c>
      <c r="H28" s="40">
        <f t="shared" si="3"/>
        <v>-70046.549999999726</v>
      </c>
    </row>
    <row r="29" spans="1:13" ht="10.5" customHeight="1"/>
    <row r="30" spans="1:13">
      <c r="B30" s="39" t="s">
        <v>35</v>
      </c>
      <c r="C30" s="40">
        <f>C10+C11+C12+C15+C18+C21</f>
        <v>0</v>
      </c>
      <c r="D30" s="40">
        <f t="shared" ref="D30:J30" si="4">D10+D11+D12+D15+D18+D21</f>
        <v>2078267.2</v>
      </c>
      <c r="E30" s="40">
        <f t="shared" si="4"/>
        <v>0</v>
      </c>
      <c r="F30" s="40">
        <f t="shared" si="4"/>
        <v>1970162.26</v>
      </c>
      <c r="G30" s="40">
        <f t="shared" si="4"/>
        <v>0</v>
      </c>
      <c r="H30" s="40">
        <f t="shared" si="4"/>
        <v>-108104.93999999989</v>
      </c>
      <c r="I30" s="40">
        <f t="shared" si="4"/>
        <v>0</v>
      </c>
      <c r="J30" s="40">
        <f t="shared" si="4"/>
        <v>0</v>
      </c>
    </row>
    <row r="31" spans="1:13">
      <c r="B31" s="39" t="s">
        <v>36</v>
      </c>
      <c r="C31" s="40">
        <f>C16</f>
        <v>0</v>
      </c>
      <c r="D31" s="40">
        <f>D16</f>
        <v>80886.17</v>
      </c>
      <c r="E31" s="40">
        <f t="shared" ref="E31:J31" si="5">E16</f>
        <v>0</v>
      </c>
      <c r="F31" s="40">
        <f t="shared" si="5"/>
        <v>77956.2</v>
      </c>
      <c r="G31" s="40">
        <f t="shared" si="5"/>
        <v>0</v>
      </c>
      <c r="H31" s="40">
        <f t="shared" si="5"/>
        <v>-2929.9700000000012</v>
      </c>
      <c r="I31" s="40">
        <f t="shared" si="5"/>
        <v>0</v>
      </c>
      <c r="J31" s="40">
        <f t="shared" si="5"/>
        <v>0</v>
      </c>
    </row>
    <row r="32" spans="1:13">
      <c r="B32" s="39" t="s">
        <v>37</v>
      </c>
      <c r="C32" s="40">
        <f>C4+C5+C19+C20</f>
        <v>0</v>
      </c>
      <c r="D32" s="40">
        <f>D4+D5+D19+D20</f>
        <v>4173424.1699999995</v>
      </c>
      <c r="E32" s="40">
        <f t="shared" ref="E32:J32" si="6">E4+E5+E19+E20</f>
        <v>0</v>
      </c>
      <c r="F32" s="40">
        <f t="shared" si="6"/>
        <v>3960770.4640000002</v>
      </c>
      <c r="G32" s="40">
        <f t="shared" si="6"/>
        <v>0</v>
      </c>
      <c r="H32" s="40">
        <f t="shared" si="6"/>
        <v>-212653.70599999971</v>
      </c>
      <c r="I32" s="40">
        <f t="shared" si="6"/>
        <v>0</v>
      </c>
      <c r="J32" s="40">
        <f t="shared" si="6"/>
        <v>0</v>
      </c>
    </row>
    <row r="35" spans="3:4">
      <c r="C35" s="45"/>
      <c r="D35" s="45"/>
    </row>
    <row r="36" spans="3:4">
      <c r="C36" s="45"/>
      <c r="D36" s="45"/>
    </row>
    <row r="37" spans="3:4">
      <c r="C37" s="46"/>
      <c r="D37" s="46"/>
    </row>
  </sheetData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3:L24"/>
  <sheetViews>
    <sheetView workbookViewId="0">
      <selection activeCell="H30" sqref="H30"/>
    </sheetView>
  </sheetViews>
  <sheetFormatPr defaultRowHeight="12.75"/>
  <cols>
    <col min="1" max="1" width="4.140625" customWidth="1"/>
    <col min="2" max="2" width="21" customWidth="1"/>
    <col min="6" max="6" width="12.28515625" customWidth="1"/>
  </cols>
  <sheetData>
    <row r="3" spans="1:12">
      <c r="A3" s="1" t="s">
        <v>0</v>
      </c>
      <c r="B3" s="5" t="s">
        <v>1</v>
      </c>
      <c r="C3" s="4" t="s">
        <v>2</v>
      </c>
      <c r="D3" s="5" t="s">
        <v>3</v>
      </c>
      <c r="E3" s="6" t="s">
        <v>4</v>
      </c>
      <c r="F3" s="5" t="s">
        <v>5</v>
      </c>
      <c r="G3" s="5" t="s">
        <v>6</v>
      </c>
      <c r="H3" s="6" t="s">
        <v>7</v>
      </c>
      <c r="I3" s="6" t="s">
        <v>8</v>
      </c>
      <c r="J3" s="6" t="s">
        <v>9</v>
      </c>
      <c r="K3" s="5" t="s">
        <v>10</v>
      </c>
      <c r="L3" s="5" t="s">
        <v>11</v>
      </c>
    </row>
    <row r="4" spans="1:12">
      <c r="A4" s="1">
        <v>1</v>
      </c>
      <c r="B4" s="7" t="s">
        <v>14</v>
      </c>
      <c r="C4" s="3"/>
      <c r="D4" s="3" t="e">
        <f>#REF!+Январь!C4</f>
        <v>#REF!</v>
      </c>
      <c r="E4" s="2"/>
      <c r="F4" s="3" t="e">
        <f>#REF!+Январь!E4</f>
        <v>#REF!</v>
      </c>
      <c r="G4" s="3">
        <f>E4-C4</f>
        <v>0</v>
      </c>
      <c r="H4" s="2" t="e">
        <f>F4-D4</f>
        <v>#REF!</v>
      </c>
      <c r="I4" s="2"/>
      <c r="J4" s="2" t="e">
        <f>#REF!+Январь!I4</f>
        <v>#REF!</v>
      </c>
      <c r="K4" s="3"/>
      <c r="L4" s="3" t="e">
        <f>K4+#REF!</f>
        <v>#REF!</v>
      </c>
    </row>
    <row r="5" spans="1:12">
      <c r="A5" s="1">
        <f>A4+1</f>
        <v>2</v>
      </c>
      <c r="B5" s="7"/>
      <c r="C5" s="3"/>
      <c r="D5" s="3"/>
      <c r="E5" s="2"/>
      <c r="F5" s="3"/>
      <c r="G5" s="3"/>
      <c r="H5" s="2"/>
      <c r="I5" s="2"/>
      <c r="J5" s="2"/>
      <c r="K5" s="3"/>
      <c r="L5" s="3"/>
    </row>
    <row r="6" spans="1:12">
      <c r="A6" s="1">
        <f t="shared" ref="A6:A23" si="0">A5+1</f>
        <v>3</v>
      </c>
      <c r="B6" s="7"/>
      <c r="C6" s="3"/>
      <c r="D6" s="3"/>
      <c r="E6" s="2"/>
      <c r="F6" s="3"/>
      <c r="G6" s="3"/>
      <c r="H6" s="2"/>
      <c r="I6" s="2"/>
      <c r="J6" s="2"/>
      <c r="K6" s="3"/>
      <c r="L6" s="3"/>
    </row>
    <row r="7" spans="1:12">
      <c r="A7" s="1">
        <f t="shared" si="0"/>
        <v>4</v>
      </c>
      <c r="B7" s="7"/>
      <c r="C7" s="3"/>
      <c r="D7" s="3"/>
      <c r="E7" s="2"/>
      <c r="F7" s="3"/>
      <c r="G7" s="3"/>
      <c r="H7" s="2"/>
      <c r="I7" s="2"/>
      <c r="J7" s="2"/>
      <c r="K7" s="3"/>
      <c r="L7" s="3"/>
    </row>
    <row r="8" spans="1:12">
      <c r="A8" s="1">
        <f t="shared" si="0"/>
        <v>5</v>
      </c>
      <c r="B8" s="7"/>
      <c r="C8" s="3"/>
      <c r="D8" s="3"/>
      <c r="E8" s="2"/>
      <c r="F8" s="3"/>
      <c r="G8" s="3"/>
      <c r="H8" s="2"/>
      <c r="I8" s="2"/>
      <c r="J8" s="2"/>
      <c r="K8" s="3"/>
      <c r="L8" s="3"/>
    </row>
    <row r="9" spans="1:12">
      <c r="A9" s="1">
        <f t="shared" si="0"/>
        <v>6</v>
      </c>
      <c r="B9" s="7"/>
      <c r="C9" s="3"/>
      <c r="D9" s="3"/>
      <c r="E9" s="2"/>
      <c r="F9" s="3"/>
      <c r="G9" s="3"/>
      <c r="H9" s="2"/>
      <c r="I9" s="2"/>
      <c r="J9" s="2"/>
      <c r="K9" s="3"/>
      <c r="L9" s="3"/>
    </row>
    <row r="10" spans="1:12">
      <c r="A10" s="1">
        <f t="shared" si="0"/>
        <v>7</v>
      </c>
      <c r="B10" s="7"/>
      <c r="C10" s="3"/>
      <c r="D10" s="3"/>
      <c r="E10" s="2"/>
      <c r="F10" s="3"/>
      <c r="G10" s="3"/>
      <c r="H10" s="2"/>
      <c r="I10" s="2"/>
      <c r="J10" s="2"/>
      <c r="K10" s="3"/>
      <c r="L10" s="3"/>
    </row>
    <row r="11" spans="1:12">
      <c r="A11" s="1">
        <f t="shared" si="0"/>
        <v>8</v>
      </c>
      <c r="B11" s="7"/>
      <c r="C11" s="3"/>
      <c r="D11" s="3"/>
      <c r="E11" s="2"/>
      <c r="F11" s="3"/>
      <c r="G11" s="3"/>
      <c r="H11" s="2"/>
      <c r="I11" s="2"/>
      <c r="J11" s="2"/>
      <c r="K11" s="3"/>
      <c r="L11" s="3"/>
    </row>
    <row r="12" spans="1:12">
      <c r="A12" s="1">
        <f t="shared" si="0"/>
        <v>9</v>
      </c>
      <c r="B12" s="7"/>
      <c r="C12" s="3"/>
      <c r="D12" s="3"/>
      <c r="E12" s="2"/>
      <c r="F12" s="3"/>
      <c r="G12" s="3"/>
      <c r="H12" s="2"/>
      <c r="I12" s="2"/>
      <c r="J12" s="2"/>
      <c r="K12" s="3"/>
      <c r="L12" s="3"/>
    </row>
    <row r="13" spans="1:12">
      <c r="A13" s="1">
        <f t="shared" si="0"/>
        <v>10</v>
      </c>
      <c r="B13" s="7"/>
      <c r="C13" s="3"/>
      <c r="D13" s="3"/>
      <c r="E13" s="2"/>
      <c r="F13" s="3"/>
      <c r="G13" s="3"/>
      <c r="H13" s="2"/>
      <c r="I13" s="2"/>
      <c r="J13" s="2"/>
      <c r="K13" s="3"/>
      <c r="L13" s="3"/>
    </row>
    <row r="14" spans="1:12">
      <c r="A14" s="1">
        <f t="shared" si="0"/>
        <v>11</v>
      </c>
      <c r="B14" s="7"/>
      <c r="C14" s="3"/>
      <c r="D14" s="3"/>
      <c r="E14" s="2"/>
      <c r="F14" s="3"/>
      <c r="G14" s="3"/>
      <c r="H14" s="2"/>
      <c r="I14" s="2"/>
      <c r="J14" s="2"/>
      <c r="K14" s="3"/>
      <c r="L14" s="3"/>
    </row>
    <row r="15" spans="1:12">
      <c r="A15" s="1">
        <f t="shared" si="0"/>
        <v>12</v>
      </c>
      <c r="B15" s="7"/>
      <c r="C15" s="3"/>
      <c r="D15" s="3"/>
      <c r="E15" s="2"/>
      <c r="F15" s="3"/>
      <c r="G15" s="3"/>
      <c r="H15" s="2"/>
      <c r="I15" s="2"/>
      <c r="J15" s="2"/>
      <c r="K15" s="3"/>
      <c r="L15" s="3"/>
    </row>
    <row r="16" spans="1:12">
      <c r="A16" s="1">
        <f t="shared" si="0"/>
        <v>13</v>
      </c>
      <c r="B16" s="7"/>
      <c r="C16" s="3"/>
      <c r="D16" s="3"/>
      <c r="E16" s="2"/>
      <c r="F16" s="3"/>
      <c r="G16" s="3"/>
      <c r="H16" s="2"/>
      <c r="I16" s="2"/>
      <c r="J16" s="2"/>
      <c r="K16" s="3"/>
      <c r="L16" s="3"/>
    </row>
    <row r="17" spans="1:12">
      <c r="A17" s="1">
        <f t="shared" si="0"/>
        <v>14</v>
      </c>
      <c r="B17" s="7"/>
      <c r="C17" s="3"/>
      <c r="D17" s="3"/>
      <c r="E17" s="2"/>
      <c r="F17" s="3"/>
      <c r="G17" s="3"/>
      <c r="H17" s="2"/>
      <c r="I17" s="2"/>
      <c r="J17" s="2"/>
      <c r="K17" s="3"/>
      <c r="L17" s="3"/>
    </row>
    <row r="18" spans="1:12">
      <c r="A18" s="1">
        <f t="shared" si="0"/>
        <v>15</v>
      </c>
      <c r="B18" s="7"/>
      <c r="C18" s="3"/>
      <c r="D18" s="3"/>
      <c r="E18" s="2"/>
      <c r="F18" s="3"/>
      <c r="G18" s="3"/>
      <c r="H18" s="2"/>
      <c r="I18" s="2"/>
      <c r="J18" s="2"/>
      <c r="K18" s="3"/>
      <c r="L18" s="3"/>
    </row>
    <row r="19" spans="1:12">
      <c r="A19" s="1">
        <f t="shared" si="0"/>
        <v>16</v>
      </c>
      <c r="B19" s="7"/>
      <c r="C19" s="3"/>
      <c r="D19" s="3"/>
      <c r="E19" s="2"/>
      <c r="F19" s="3"/>
      <c r="G19" s="3"/>
      <c r="H19" s="2"/>
      <c r="I19" s="2"/>
      <c r="J19" s="2"/>
      <c r="K19" s="3"/>
      <c r="L19" s="3"/>
    </row>
    <row r="20" spans="1:12">
      <c r="A20" s="1">
        <f t="shared" si="0"/>
        <v>17</v>
      </c>
      <c r="B20" s="7"/>
      <c r="C20" s="3"/>
      <c r="D20" s="3"/>
      <c r="E20" s="2"/>
      <c r="F20" s="3"/>
      <c r="G20" s="3"/>
      <c r="H20" s="2"/>
      <c r="I20" s="2"/>
      <c r="J20" s="2"/>
      <c r="K20" s="3"/>
      <c r="L20" s="3"/>
    </row>
    <row r="21" spans="1:12">
      <c r="A21" s="1">
        <f t="shared" si="0"/>
        <v>18</v>
      </c>
      <c r="B21" s="7"/>
      <c r="C21" s="3"/>
      <c r="D21" s="3"/>
      <c r="E21" s="2"/>
      <c r="F21" s="3"/>
      <c r="G21" s="3"/>
      <c r="H21" s="2"/>
      <c r="I21" s="2"/>
      <c r="J21" s="2"/>
      <c r="K21" s="3"/>
      <c r="L21" s="3"/>
    </row>
    <row r="22" spans="1:12">
      <c r="A22" s="1">
        <f t="shared" si="0"/>
        <v>19</v>
      </c>
      <c r="B22" s="7"/>
      <c r="C22" s="3"/>
      <c r="D22" s="3"/>
      <c r="E22" s="2"/>
      <c r="F22" s="3"/>
      <c r="G22" s="3"/>
      <c r="H22" s="2"/>
      <c r="I22" s="2"/>
      <c r="J22" s="2"/>
      <c r="K22" s="3"/>
      <c r="L22" s="3"/>
    </row>
    <row r="23" spans="1:12">
      <c r="A23" s="1">
        <f t="shared" si="0"/>
        <v>20</v>
      </c>
      <c r="B23" s="7"/>
      <c r="C23" s="3"/>
      <c r="D23" s="3"/>
      <c r="E23" s="2"/>
      <c r="F23" s="3"/>
      <c r="G23" s="3"/>
      <c r="H23" s="2"/>
      <c r="I23" s="2"/>
      <c r="J23" s="2"/>
      <c r="K23" s="3"/>
      <c r="L23" s="3"/>
    </row>
    <row r="24" spans="1:12">
      <c r="A24" s="1"/>
      <c r="B24" s="7" t="s">
        <v>12</v>
      </c>
      <c r="C24" s="3">
        <f t="shared" ref="C24:L24" si="1">SUM(C4:C23)</f>
        <v>0</v>
      </c>
      <c r="D24" s="3" t="e">
        <f t="shared" si="1"/>
        <v>#REF!</v>
      </c>
      <c r="E24" s="2">
        <f t="shared" si="1"/>
        <v>0</v>
      </c>
      <c r="F24" s="3" t="e">
        <f t="shared" si="1"/>
        <v>#REF!</v>
      </c>
      <c r="G24" s="3">
        <f t="shared" si="1"/>
        <v>0</v>
      </c>
      <c r="H24" s="2" t="e">
        <f t="shared" si="1"/>
        <v>#REF!</v>
      </c>
      <c r="I24" s="2">
        <f t="shared" si="1"/>
        <v>0</v>
      </c>
      <c r="J24" s="2" t="e">
        <f t="shared" si="1"/>
        <v>#REF!</v>
      </c>
      <c r="K24" s="3">
        <f t="shared" si="1"/>
        <v>0</v>
      </c>
      <c r="L24" s="3" t="e">
        <f t="shared" si="1"/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2"/>
  <sheetViews>
    <sheetView workbookViewId="0">
      <selection activeCell="D3" sqref="D3"/>
    </sheetView>
  </sheetViews>
  <sheetFormatPr defaultRowHeight="12.75"/>
  <cols>
    <col min="1" max="1" width="3.7109375" customWidth="1"/>
    <col min="2" max="2" width="29.28515625" customWidth="1"/>
    <col min="3" max="3" width="11.85546875" customWidth="1"/>
    <col min="4" max="4" width="11.5703125" customWidth="1"/>
    <col min="5" max="5" width="11.42578125" customWidth="1"/>
    <col min="6" max="6" width="12.85546875" customWidth="1"/>
    <col min="7" max="7" width="11.42578125" customWidth="1"/>
    <col min="8" max="8" width="11.28515625" customWidth="1"/>
    <col min="9" max="9" width="11.42578125" customWidth="1"/>
    <col min="10" max="10" width="10.28515625" customWidth="1"/>
    <col min="11" max="11" width="10.140625" bestFit="1" customWidth="1"/>
    <col min="12" max="12" width="10.42578125" customWidth="1"/>
    <col min="13" max="13" width="10.7109375" bestFit="1" customWidth="1"/>
  </cols>
  <sheetData>
    <row r="1" spans="1:13">
      <c r="B1" s="12" t="s">
        <v>17</v>
      </c>
      <c r="D1" t="s">
        <v>41</v>
      </c>
      <c r="E1" s="11"/>
      <c r="G1" s="12"/>
      <c r="I1" s="13"/>
    </row>
    <row r="2" spans="1:13" s="33" customFormat="1" ht="38.25">
      <c r="A2" s="27" t="s">
        <v>0</v>
      </c>
      <c r="B2" s="28" t="s">
        <v>1</v>
      </c>
      <c r="C2" s="29" t="s">
        <v>2</v>
      </c>
      <c r="D2" s="30" t="s">
        <v>3</v>
      </c>
      <c r="E2" s="31" t="s">
        <v>4</v>
      </c>
      <c r="F2" s="30" t="s">
        <v>5</v>
      </c>
      <c r="G2" s="30" t="s">
        <v>6</v>
      </c>
      <c r="H2" s="32" t="s">
        <v>7</v>
      </c>
      <c r="I2" s="31" t="s">
        <v>8</v>
      </c>
      <c r="J2" s="32" t="s">
        <v>9</v>
      </c>
      <c r="K2" s="28" t="s">
        <v>10</v>
      </c>
      <c r="L2" s="30" t="s">
        <v>11</v>
      </c>
    </row>
    <row r="3" spans="1:13">
      <c r="A3" s="1">
        <v>1</v>
      </c>
      <c r="B3" s="34" t="str">
        <f>Январь!B3</f>
        <v>Содержание общ.имущ.дома</v>
      </c>
      <c r="C3" s="8">
        <f>63188.65+6040.19</f>
        <v>69228.84</v>
      </c>
      <c r="D3" s="18">
        <f>C3+Январь!D3</f>
        <v>146009.20000000001</v>
      </c>
      <c r="E3" s="9">
        <f>56939.22+10380.65</f>
        <v>67319.87</v>
      </c>
      <c r="F3" s="18">
        <f>E3+Январь!F3</f>
        <v>127790.32</v>
      </c>
      <c r="G3" s="18">
        <f>E3-C3</f>
        <v>-1908.9700000000012</v>
      </c>
      <c r="H3" s="19">
        <f>F3-D3</f>
        <v>-18218.880000000005</v>
      </c>
      <c r="I3" s="9"/>
      <c r="J3" s="19">
        <f>I3+Январь!J3</f>
        <v>0</v>
      </c>
      <c r="K3" s="8"/>
      <c r="L3" s="18">
        <f>K3+Январь!L3</f>
        <v>0</v>
      </c>
    </row>
    <row r="4" spans="1:13">
      <c r="A4" s="1">
        <f>A3+1</f>
        <v>2</v>
      </c>
      <c r="B4" s="34" t="str">
        <f>Январь!B4</f>
        <v>Отопление</v>
      </c>
      <c r="C4" s="8">
        <f>293870.14+47105.79</f>
        <v>340975.93</v>
      </c>
      <c r="D4" s="18">
        <f>C4+Январь!D4</f>
        <v>687669.94</v>
      </c>
      <c r="E4" s="9">
        <f>243751.77+46768.15</f>
        <v>290519.92</v>
      </c>
      <c r="F4" s="18">
        <f>E4+Январь!F4</f>
        <v>505501.45999999996</v>
      </c>
      <c r="G4" s="18">
        <f t="shared" ref="G4:H22" si="0">E4-C4</f>
        <v>-50456.010000000009</v>
      </c>
      <c r="H4" s="19">
        <f t="shared" si="0"/>
        <v>-182168.47999999998</v>
      </c>
      <c r="I4" s="9"/>
      <c r="J4" s="19">
        <f>I4+Январь!J4</f>
        <v>0</v>
      </c>
      <c r="K4" s="8"/>
      <c r="L4" s="18">
        <f>K4+Январь!L4</f>
        <v>0</v>
      </c>
      <c r="M4" s="24">
        <f>L4-J4</f>
        <v>0</v>
      </c>
    </row>
    <row r="5" spans="1:13">
      <c r="A5" s="1">
        <f t="shared" ref="A5:A22" si="1">A4+1</f>
        <v>3</v>
      </c>
      <c r="B5" s="34" t="str">
        <f>Январь!B5</f>
        <v>Горячее водоснабжение</v>
      </c>
      <c r="C5" s="8">
        <f>128562.57+22525.66</f>
        <v>151088.23000000001</v>
      </c>
      <c r="D5" s="18">
        <f>C5+Январь!D5</f>
        <v>308090</v>
      </c>
      <c r="E5" s="9">
        <f>112385.03+23597.47</f>
        <v>135982.5</v>
      </c>
      <c r="F5" s="18">
        <f>E5+Январь!F5</f>
        <v>272529.27</v>
      </c>
      <c r="G5" s="18">
        <f t="shared" si="0"/>
        <v>-15105.73000000001</v>
      </c>
      <c r="H5" s="19">
        <f t="shared" si="0"/>
        <v>-35560.729999999981</v>
      </c>
      <c r="I5" s="9"/>
      <c r="J5" s="19">
        <f>I5+Январь!J5</f>
        <v>0</v>
      </c>
      <c r="K5" s="8"/>
      <c r="L5" s="18">
        <f>K5+Январь!L5</f>
        <v>0</v>
      </c>
    </row>
    <row r="6" spans="1:13">
      <c r="A6" s="1">
        <f t="shared" si="1"/>
        <v>4</v>
      </c>
      <c r="B6" s="34" t="str">
        <f>Январь!B6</f>
        <v>Сод.и ремонт АППЗ</v>
      </c>
      <c r="C6" s="8">
        <f>2336.35+258.58</f>
        <v>2594.9299999999998</v>
      </c>
      <c r="D6" s="18">
        <f>C6+Январь!D6</f>
        <v>5434.91</v>
      </c>
      <c r="E6" s="9">
        <f>2116.61+385.44</f>
        <v>2502.0500000000002</v>
      </c>
      <c r="F6" s="18">
        <f>E6+Январь!F6</f>
        <v>4756.63</v>
      </c>
      <c r="G6" s="18">
        <f t="shared" si="0"/>
        <v>-92.879999999999654</v>
      </c>
      <c r="H6" s="19">
        <f t="shared" si="0"/>
        <v>-678.27999999999975</v>
      </c>
      <c r="I6" s="9"/>
      <c r="J6" s="19">
        <f>I6+Январь!J6</f>
        <v>0</v>
      </c>
      <c r="K6" s="8"/>
      <c r="L6" s="18">
        <f>K6+Январь!L6</f>
        <v>0</v>
      </c>
    </row>
    <row r="7" spans="1:13">
      <c r="A7" s="1">
        <f t="shared" si="1"/>
        <v>5</v>
      </c>
      <c r="B7" s="34" t="str">
        <f>Январь!B7</f>
        <v>Сод.и ремонт лифтов</v>
      </c>
      <c r="C7" s="8">
        <f>15462.07+1621.54</f>
        <v>17083.61</v>
      </c>
      <c r="D7" s="18">
        <f>C7+Январь!D7</f>
        <v>35945.369999999995</v>
      </c>
      <c r="E7" s="9">
        <f>14254.52+2596.8</f>
        <v>16851.32</v>
      </c>
      <c r="F7" s="18">
        <f>E7+Январь!F7</f>
        <v>32403.22</v>
      </c>
      <c r="G7" s="18">
        <f t="shared" si="0"/>
        <v>-232.29000000000087</v>
      </c>
      <c r="H7" s="19">
        <f t="shared" si="0"/>
        <v>-3542.1499999999942</v>
      </c>
      <c r="I7" s="9"/>
      <c r="J7" s="19">
        <f>I7+Январь!J7</f>
        <v>0</v>
      </c>
      <c r="K7" s="8"/>
      <c r="L7" s="18">
        <f>K7+Январь!L7</f>
        <v>0</v>
      </c>
    </row>
    <row r="8" spans="1:13">
      <c r="A8" s="1">
        <f t="shared" si="1"/>
        <v>6</v>
      </c>
      <c r="B8" s="34" t="str">
        <f>Январь!B8</f>
        <v>Очистка мусоропроводов</v>
      </c>
      <c r="C8" s="8">
        <f>7220.79+902.92</f>
        <v>8123.71</v>
      </c>
      <c r="D8" s="18">
        <f>C8+Январь!D8</f>
        <v>16968.55</v>
      </c>
      <c r="E8" s="9">
        <f>6479.32+1238.34</f>
        <v>7717.66</v>
      </c>
      <c r="F8" s="18">
        <f>E8+Январь!F8</f>
        <v>14782.05</v>
      </c>
      <c r="G8" s="18">
        <f t="shared" si="0"/>
        <v>-406.05000000000018</v>
      </c>
      <c r="H8" s="19">
        <f t="shared" si="0"/>
        <v>-2186.5</v>
      </c>
      <c r="I8" s="9"/>
      <c r="J8" s="19">
        <f>I8+Январь!J8</f>
        <v>0</v>
      </c>
      <c r="K8" s="8"/>
      <c r="L8" s="18">
        <f>K8+Январь!L8</f>
        <v>0</v>
      </c>
    </row>
    <row r="9" spans="1:13">
      <c r="A9" s="1">
        <f t="shared" si="1"/>
        <v>7</v>
      </c>
      <c r="B9" s="34" t="str">
        <f>Январь!B9</f>
        <v>Уборка и сан.очистка зем.уч.</v>
      </c>
      <c r="C9" s="8">
        <f>9717.29+1197.68</f>
        <v>10914.970000000001</v>
      </c>
      <c r="D9" s="18">
        <f>C9+Январь!D9</f>
        <v>22721.210000000003</v>
      </c>
      <c r="E9" s="9">
        <f>8723.5+1592.43</f>
        <v>10315.93</v>
      </c>
      <c r="F9" s="18">
        <f>E9+Январь!F9</f>
        <v>19564.46</v>
      </c>
      <c r="G9" s="18">
        <f t="shared" si="0"/>
        <v>-599.04000000000087</v>
      </c>
      <c r="H9" s="19">
        <f t="shared" si="0"/>
        <v>-3156.7500000000036</v>
      </c>
      <c r="I9" s="9"/>
      <c r="J9" s="19">
        <f>I9+Январь!J9</f>
        <v>0</v>
      </c>
      <c r="K9" s="8"/>
      <c r="L9" s="18">
        <f>K9+Январь!L9</f>
        <v>0</v>
      </c>
    </row>
    <row r="10" spans="1:13">
      <c r="A10" s="1">
        <f t="shared" si="1"/>
        <v>8</v>
      </c>
      <c r="B10" s="34" t="str">
        <f>Январь!B10</f>
        <v>Холодная вода</v>
      </c>
      <c r="C10" s="8">
        <f>50253.5+9024.77</f>
        <v>59278.270000000004</v>
      </c>
      <c r="D10" s="18">
        <f>C10+Январь!D10</f>
        <v>120000</v>
      </c>
      <c r="E10" s="9">
        <f>43081.09+9077.9</f>
        <v>52158.99</v>
      </c>
      <c r="F10" s="18">
        <f>E10+Январь!F10</f>
        <v>104927.01</v>
      </c>
      <c r="G10" s="18">
        <f t="shared" si="0"/>
        <v>-7119.2800000000061</v>
      </c>
      <c r="H10" s="19">
        <f t="shared" si="0"/>
        <v>-15072.990000000005</v>
      </c>
      <c r="I10" s="9"/>
      <c r="J10" s="19">
        <f>I10+Январь!J10</f>
        <v>0</v>
      </c>
      <c r="K10" s="8"/>
      <c r="L10" s="18">
        <f>K10+Январь!L10</f>
        <v>0</v>
      </c>
    </row>
    <row r="11" spans="1:13">
      <c r="A11" s="1">
        <f t="shared" si="1"/>
        <v>9</v>
      </c>
      <c r="B11" s="34" t="str">
        <f>Январь!B11</f>
        <v>Канализир.х.воды</v>
      </c>
      <c r="C11" s="8">
        <v>0</v>
      </c>
      <c r="D11" s="18">
        <f>C11+Январь!D11</f>
        <v>0</v>
      </c>
      <c r="E11" s="9">
        <v>0</v>
      </c>
      <c r="F11" s="18">
        <f>E11+Январь!F11</f>
        <v>0</v>
      </c>
      <c r="G11" s="18">
        <f t="shared" si="0"/>
        <v>0</v>
      </c>
      <c r="H11" s="19">
        <f t="shared" si="0"/>
        <v>0</v>
      </c>
      <c r="I11" s="9"/>
      <c r="J11" s="19">
        <f>I11+Январь!J11</f>
        <v>0</v>
      </c>
      <c r="K11" s="8"/>
      <c r="L11" s="18">
        <f>K11+Январь!L11</f>
        <v>0</v>
      </c>
    </row>
    <row r="12" spans="1:13">
      <c r="A12" s="1">
        <f t="shared" si="1"/>
        <v>10</v>
      </c>
      <c r="B12" s="34" t="str">
        <f>Январь!B12</f>
        <v>Канализир.г.воды</v>
      </c>
      <c r="C12" s="8">
        <v>0</v>
      </c>
      <c r="D12" s="18">
        <f>C12+Январь!D12</f>
        <v>0</v>
      </c>
      <c r="E12" s="9">
        <v>0</v>
      </c>
      <c r="F12" s="18">
        <f>E12+Январь!F12</f>
        <v>0</v>
      </c>
      <c r="G12" s="18">
        <f t="shared" si="0"/>
        <v>0</v>
      </c>
      <c r="H12" s="19">
        <f t="shared" si="0"/>
        <v>0</v>
      </c>
      <c r="I12" s="9"/>
      <c r="J12" s="19">
        <f>I12+Январь!J12</f>
        <v>0</v>
      </c>
      <c r="K12" s="8"/>
      <c r="L12" s="18">
        <f>K12+Январь!L12</f>
        <v>0</v>
      </c>
    </row>
    <row r="13" spans="1:13">
      <c r="A13" s="1">
        <f t="shared" si="1"/>
        <v>11</v>
      </c>
      <c r="B13" s="34" t="str">
        <f>Январь!B13</f>
        <v>Тек.рем.общ.имущ.дома</v>
      </c>
      <c r="C13" s="8">
        <f>32974.84+3795.82</f>
        <v>36770.659999999996</v>
      </c>
      <c r="D13" s="18">
        <f>C13+Январь!D13</f>
        <v>76839.739999999991</v>
      </c>
      <c r="E13" s="9">
        <f>30051.99+5420.53</f>
        <v>35472.520000000004</v>
      </c>
      <c r="F13" s="18">
        <f>E13+Январь!F13</f>
        <v>67226.460000000006</v>
      </c>
      <c r="G13" s="18">
        <f t="shared" si="0"/>
        <v>-1298.1399999999921</v>
      </c>
      <c r="H13" s="19">
        <f t="shared" si="0"/>
        <v>-9613.2799999999843</v>
      </c>
      <c r="I13" s="9"/>
      <c r="J13" s="19">
        <f>I13+Январь!J13</f>
        <v>0</v>
      </c>
      <c r="K13" s="8"/>
      <c r="L13" s="18">
        <f>K13+Январь!L13</f>
        <v>0</v>
      </c>
    </row>
    <row r="14" spans="1:13">
      <c r="A14" s="1">
        <f t="shared" si="1"/>
        <v>12</v>
      </c>
      <c r="B14" s="34" t="str">
        <f>Январь!B14</f>
        <v>Управление многокв.домом</v>
      </c>
      <c r="C14" s="8">
        <f>13646.63+1485.63</f>
        <v>15132.259999999998</v>
      </c>
      <c r="D14" s="18">
        <f>C14+Январь!D14</f>
        <v>31697.42</v>
      </c>
      <c r="E14" s="9">
        <f>12142.07+2218.85</f>
        <v>14360.92</v>
      </c>
      <c r="F14" s="18">
        <f>E14+Январь!F14</f>
        <v>27302.809999999998</v>
      </c>
      <c r="G14" s="18">
        <f t="shared" si="0"/>
        <v>-771.33999999999833</v>
      </c>
      <c r="H14" s="19">
        <f t="shared" si="0"/>
        <v>-4394.6100000000006</v>
      </c>
      <c r="I14" s="9"/>
      <c r="J14" s="19">
        <f>I14+Январь!J14</f>
        <v>0</v>
      </c>
      <c r="K14" s="8"/>
      <c r="L14" s="18">
        <f>K14+Январь!L14</f>
        <v>0</v>
      </c>
    </row>
    <row r="15" spans="1:13">
      <c r="A15" s="1">
        <f t="shared" si="1"/>
        <v>13</v>
      </c>
      <c r="B15" s="34" t="str">
        <f>Январь!B15</f>
        <v>Водоотведение(кв)</v>
      </c>
      <c r="C15" s="8">
        <f>85981.42+15404.11</f>
        <v>101385.53</v>
      </c>
      <c r="D15" s="18">
        <f>C15+Январь!D15</f>
        <v>205725.95</v>
      </c>
      <c r="E15" s="9">
        <f>74659.32+15747.39</f>
        <v>90406.71</v>
      </c>
      <c r="F15" s="18">
        <f>E15+Январь!F15</f>
        <v>180885.91</v>
      </c>
      <c r="G15" s="18">
        <f t="shared" si="0"/>
        <v>-10978.819999999992</v>
      </c>
      <c r="H15" s="19">
        <f t="shared" si="0"/>
        <v>-24840.040000000008</v>
      </c>
      <c r="I15" s="9"/>
      <c r="J15" s="19">
        <f>I15+Январь!J15</f>
        <v>0</v>
      </c>
      <c r="K15" s="8"/>
      <c r="L15" s="18">
        <f>K15+Январь!L15</f>
        <v>0</v>
      </c>
    </row>
    <row r="16" spans="1:13">
      <c r="A16" s="1">
        <f t="shared" si="1"/>
        <v>14</v>
      </c>
      <c r="B16" s="34" t="str">
        <f>Январь!B16</f>
        <v>Электроснабж.на общед.нужды</v>
      </c>
      <c r="C16" s="8">
        <f>6756.2+914.75+525.76</f>
        <v>8196.7099999999991</v>
      </c>
      <c r="D16" s="18">
        <f>C16+Январь!D16</f>
        <v>15078.71</v>
      </c>
      <c r="E16" s="9">
        <f>4889.52+953.71</f>
        <v>5843.2300000000005</v>
      </c>
      <c r="F16" s="18">
        <f>E16+Январь!F16</f>
        <v>12037.7</v>
      </c>
      <c r="G16" s="18">
        <f t="shared" si="0"/>
        <v>-2353.4799999999987</v>
      </c>
      <c r="H16" s="19">
        <f t="shared" si="0"/>
        <v>-3041.0099999999984</v>
      </c>
      <c r="I16" s="9"/>
      <c r="J16" s="19">
        <f>I16+Январь!J16</f>
        <v>0</v>
      </c>
      <c r="K16" s="8"/>
      <c r="L16" s="18">
        <f>K16+Январь!L16</f>
        <v>0</v>
      </c>
    </row>
    <row r="17" spans="1:12">
      <c r="A17" s="1">
        <f t="shared" si="1"/>
        <v>15</v>
      </c>
      <c r="B17" s="34" t="str">
        <f>Январь!B17</f>
        <v>Эксплуатация общедом.ПУ</v>
      </c>
      <c r="C17" s="8">
        <f>3504.66+421.09</f>
        <v>3925.75</v>
      </c>
      <c r="D17" s="18">
        <f>C17+Январь!D17</f>
        <v>8185.32</v>
      </c>
      <c r="E17" s="9">
        <f>3203.3+582.2+282.95</f>
        <v>4068.45</v>
      </c>
      <c r="F17" s="18">
        <f>E17+Январь!F17</f>
        <v>7452.7</v>
      </c>
      <c r="G17" s="18">
        <f t="shared" si="0"/>
        <v>142.69999999999982</v>
      </c>
      <c r="H17" s="19">
        <f t="shared" si="0"/>
        <v>-732.61999999999989</v>
      </c>
      <c r="I17" s="9"/>
      <c r="J17" s="19">
        <f>I17+Январь!J17</f>
        <v>0</v>
      </c>
      <c r="K17" s="8"/>
      <c r="L17" s="18">
        <f>K17+Январь!L17</f>
        <v>0</v>
      </c>
    </row>
    <row r="18" spans="1:12">
      <c r="A18" s="1">
        <f t="shared" si="1"/>
        <v>16</v>
      </c>
      <c r="B18" s="34" t="str">
        <f>Январь!B18</f>
        <v>Водоотведение(о/д нужды)</v>
      </c>
      <c r="C18" s="8">
        <v>0</v>
      </c>
      <c r="D18" s="18">
        <v>0</v>
      </c>
      <c r="E18" s="9">
        <v>0</v>
      </c>
      <c r="F18" s="18">
        <f>E18+Январь!F18</f>
        <v>0</v>
      </c>
      <c r="G18" s="18">
        <f t="shared" si="0"/>
        <v>0</v>
      </c>
      <c r="H18" s="19">
        <f t="shared" si="0"/>
        <v>0</v>
      </c>
      <c r="I18" s="9"/>
      <c r="J18" s="19">
        <f>I18+Январь!J18</f>
        <v>0</v>
      </c>
      <c r="K18" s="8"/>
      <c r="L18" s="18">
        <f>K18+Январь!L18</f>
        <v>0</v>
      </c>
    </row>
    <row r="19" spans="1:12">
      <c r="A19" s="1">
        <f t="shared" si="1"/>
        <v>17</v>
      </c>
      <c r="B19" s="34" t="str">
        <f>Январь!B19</f>
        <v>Отопление (о/д нужды)</v>
      </c>
      <c r="C19" s="8">
        <v>0</v>
      </c>
      <c r="D19" s="18">
        <f>C19+Январь!D19</f>
        <v>0</v>
      </c>
      <c r="E19" s="9">
        <v>115.17</v>
      </c>
      <c r="F19" s="18">
        <f>E19+Январь!F19</f>
        <v>361.06</v>
      </c>
      <c r="G19" s="18">
        <f t="shared" si="0"/>
        <v>115.17</v>
      </c>
      <c r="H19" s="19">
        <f t="shared" si="0"/>
        <v>361.06</v>
      </c>
      <c r="I19" s="9"/>
      <c r="J19" s="19">
        <f>I19+Январь!J19</f>
        <v>0</v>
      </c>
      <c r="K19" s="8"/>
      <c r="L19" s="18">
        <f>K19+Январь!L19</f>
        <v>0</v>
      </c>
    </row>
    <row r="20" spans="1:12">
      <c r="A20" s="1">
        <f t="shared" si="1"/>
        <v>18</v>
      </c>
      <c r="B20" s="34" t="str">
        <f>Январь!B20</f>
        <v>Гор.водоснабж.(о/д нужды)</v>
      </c>
      <c r="C20" s="8">
        <f>3981.63+566.51</f>
        <v>4548.1400000000003</v>
      </c>
      <c r="D20" s="18">
        <f>C20+Январь!D20</f>
        <v>9388.5600000000013</v>
      </c>
      <c r="E20" s="9">
        <f>3588.15+690.48</f>
        <v>4278.63</v>
      </c>
      <c r="F20" s="18">
        <f>E20+Январь!F20</f>
        <v>8154.6100000000006</v>
      </c>
      <c r="G20" s="18">
        <f t="shared" si="0"/>
        <v>-269.51000000000022</v>
      </c>
      <c r="H20" s="19">
        <f t="shared" si="0"/>
        <v>-1233.9500000000007</v>
      </c>
      <c r="I20" s="9"/>
      <c r="J20" s="19">
        <f>I20+Январь!J20</f>
        <v>0</v>
      </c>
      <c r="K20" s="8"/>
      <c r="L20" s="18">
        <f>K20+Январь!L20</f>
        <v>0</v>
      </c>
    </row>
    <row r="21" spans="1:12">
      <c r="A21" s="1">
        <f t="shared" si="1"/>
        <v>19</v>
      </c>
      <c r="B21" s="34" t="str">
        <f>Январь!B21</f>
        <v>Холодн водосн о/д нужды</v>
      </c>
      <c r="C21" s="8">
        <f>1786.87+254.98</f>
        <v>2041.85</v>
      </c>
      <c r="D21" s="18">
        <f>C21+Январь!D21</f>
        <v>4235.04</v>
      </c>
      <c r="E21" s="9">
        <f>1610.18+285.78</f>
        <v>1895.96</v>
      </c>
      <c r="F21" s="18">
        <f>E21+Январь!F21</f>
        <v>3653.82</v>
      </c>
      <c r="G21" s="18">
        <f t="shared" si="0"/>
        <v>-145.88999999999987</v>
      </c>
      <c r="H21" s="19">
        <f t="shared" si="0"/>
        <v>-581.2199999999998</v>
      </c>
      <c r="I21" s="9"/>
      <c r="J21" s="19">
        <f>I21+Январь!J21</f>
        <v>0</v>
      </c>
      <c r="K21" s="8"/>
      <c r="L21" s="18">
        <f>K21+Январь!L21</f>
        <v>0</v>
      </c>
    </row>
    <row r="22" spans="1:12">
      <c r="A22" s="1">
        <f t="shared" si="1"/>
        <v>20</v>
      </c>
      <c r="B22" s="34">
        <f>Январь!B22</f>
        <v>0</v>
      </c>
      <c r="C22" s="8"/>
      <c r="D22" s="18">
        <f>C22+Январь!D22</f>
        <v>0</v>
      </c>
      <c r="E22" s="9"/>
      <c r="F22" s="18">
        <f>E22+Январь!F22</f>
        <v>0</v>
      </c>
      <c r="G22" s="18">
        <f t="shared" si="0"/>
        <v>0</v>
      </c>
      <c r="H22" s="19">
        <f t="shared" si="0"/>
        <v>0</v>
      </c>
      <c r="I22" s="9"/>
      <c r="J22" s="19">
        <f>I22+Январь!J22</f>
        <v>0</v>
      </c>
      <c r="K22" s="8"/>
      <c r="L22" s="18">
        <f>K22+Январь!L22</f>
        <v>0</v>
      </c>
    </row>
    <row r="23" spans="1:12">
      <c r="A23" s="26"/>
      <c r="B23" s="25" t="s">
        <v>12</v>
      </c>
      <c r="C23" s="22">
        <f t="shared" ref="C23:L23" si="2">SUM(C3:C22)</f>
        <v>831289.39</v>
      </c>
      <c r="D23" s="22">
        <f t="shared" si="2"/>
        <v>1693989.92</v>
      </c>
      <c r="E23" s="23">
        <f t="shared" si="2"/>
        <v>739809.83</v>
      </c>
      <c r="F23" s="22">
        <f t="shared" si="2"/>
        <v>1389329.49</v>
      </c>
      <c r="G23" s="22">
        <f t="shared" si="2"/>
        <v>-91479.56</v>
      </c>
      <c r="H23" s="23">
        <f t="shared" si="2"/>
        <v>-304660.42999999993</v>
      </c>
      <c r="I23" s="23">
        <f t="shared" si="2"/>
        <v>0</v>
      </c>
      <c r="J23" s="23">
        <f t="shared" si="2"/>
        <v>0</v>
      </c>
      <c r="K23" s="22">
        <f t="shared" si="2"/>
        <v>0</v>
      </c>
      <c r="L23" s="22">
        <f t="shared" si="2"/>
        <v>0</v>
      </c>
    </row>
    <row r="25" spans="1:12" ht="8.25" customHeight="1"/>
    <row r="26" spans="1:12" hidden="1"/>
    <row r="27" spans="1:12" hidden="1"/>
    <row r="28" spans="1:12">
      <c r="B28" s="1" t="s">
        <v>35</v>
      </c>
      <c r="C28" s="9">
        <f>C10+C11+C12+C15+C18+C21</f>
        <v>162705.65</v>
      </c>
      <c r="D28" s="9">
        <f t="shared" ref="D28:J28" si="3">D10+D11+D12+D15+D18+D21</f>
        <v>329960.99</v>
      </c>
      <c r="E28" s="9">
        <f t="shared" si="3"/>
        <v>144461.66</v>
      </c>
      <c r="F28" s="9">
        <f t="shared" si="3"/>
        <v>289466.74</v>
      </c>
      <c r="G28" s="9">
        <f t="shared" si="3"/>
        <v>-18243.989999999998</v>
      </c>
      <c r="H28" s="9">
        <f t="shared" si="3"/>
        <v>-40494.250000000015</v>
      </c>
      <c r="I28" s="9">
        <f t="shared" si="3"/>
        <v>0</v>
      </c>
      <c r="J28" s="9">
        <f t="shared" si="3"/>
        <v>0</v>
      </c>
    </row>
    <row r="29" spans="1:12">
      <c r="B29" s="1" t="s">
        <v>36</v>
      </c>
      <c r="C29" s="9">
        <f>C16</f>
        <v>8196.7099999999991</v>
      </c>
      <c r="D29" s="9">
        <f t="shared" ref="D29:J29" si="4">D16</f>
        <v>15078.71</v>
      </c>
      <c r="E29" s="9">
        <f t="shared" si="4"/>
        <v>5843.2300000000005</v>
      </c>
      <c r="F29" s="9">
        <f t="shared" si="4"/>
        <v>12037.7</v>
      </c>
      <c r="G29" s="9">
        <f t="shared" si="4"/>
        <v>-2353.4799999999987</v>
      </c>
      <c r="H29" s="9">
        <f t="shared" si="4"/>
        <v>-3041.0099999999984</v>
      </c>
      <c r="I29" s="9">
        <f t="shared" si="4"/>
        <v>0</v>
      </c>
      <c r="J29" s="9">
        <f t="shared" si="4"/>
        <v>0</v>
      </c>
    </row>
    <row r="30" spans="1:12">
      <c r="B30" s="1" t="s">
        <v>37</v>
      </c>
      <c r="C30" s="9">
        <f>C4+C5+C19+C20</f>
        <v>496612.30000000005</v>
      </c>
      <c r="D30" s="9">
        <f t="shared" ref="D30:J30" si="5">D4+D5+D19+D20</f>
        <v>1005148.5</v>
      </c>
      <c r="E30" s="9">
        <f t="shared" si="5"/>
        <v>430896.22</v>
      </c>
      <c r="F30" s="9">
        <f t="shared" si="5"/>
        <v>786546.4</v>
      </c>
      <c r="G30" s="9">
        <f t="shared" si="5"/>
        <v>-65716.080000000016</v>
      </c>
      <c r="H30" s="9">
        <f t="shared" si="5"/>
        <v>-218602.09999999998</v>
      </c>
      <c r="I30" s="9">
        <f t="shared" si="5"/>
        <v>0</v>
      </c>
      <c r="J30" s="9">
        <f t="shared" si="5"/>
        <v>0</v>
      </c>
    </row>
    <row r="32" spans="1:12">
      <c r="C32">
        <f>719769.37+111520.02</f>
        <v>831289.39</v>
      </c>
      <c r="E32">
        <f>618158.54+121651.29</f>
        <v>739809.83000000007</v>
      </c>
    </row>
  </sheetData>
  <phoneticPr fontId="0" type="noConversion"/>
  <pageMargins left="0" right="0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9"/>
  <sheetViews>
    <sheetView workbookViewId="0">
      <selection activeCell="B26" sqref="B26:H26"/>
    </sheetView>
  </sheetViews>
  <sheetFormatPr defaultRowHeight="12.75"/>
  <cols>
    <col min="1" max="1" width="3.5703125" customWidth="1"/>
    <col min="2" max="2" width="29.5703125" customWidth="1"/>
    <col min="3" max="3" width="11.7109375" customWidth="1"/>
    <col min="4" max="4" width="12" customWidth="1"/>
    <col min="5" max="5" width="12.42578125" customWidth="1"/>
    <col min="6" max="6" width="11.42578125" customWidth="1"/>
    <col min="7" max="8" width="11.5703125" customWidth="1"/>
    <col min="9" max="9" width="10.42578125" customWidth="1"/>
    <col min="10" max="10" width="11.7109375" customWidth="1"/>
    <col min="11" max="11" width="10.85546875" customWidth="1"/>
    <col min="12" max="12" width="10.5703125" customWidth="1"/>
    <col min="13" max="13" width="10.7109375" bestFit="1" customWidth="1"/>
  </cols>
  <sheetData>
    <row r="1" spans="1:13">
      <c r="B1" s="12" t="s">
        <v>17</v>
      </c>
      <c r="D1" t="s">
        <v>42</v>
      </c>
      <c r="E1" s="11"/>
      <c r="G1" s="12"/>
      <c r="I1" s="13"/>
    </row>
    <row r="2" spans="1:13" s="33" customFormat="1" ht="38.25">
      <c r="A2" s="27" t="s">
        <v>0</v>
      </c>
      <c r="B2" s="28" t="s">
        <v>1</v>
      </c>
      <c r="C2" s="29" t="s">
        <v>2</v>
      </c>
      <c r="D2" s="30" t="s">
        <v>3</v>
      </c>
      <c r="E2" s="31" t="s">
        <v>4</v>
      </c>
      <c r="F2" s="30" t="s">
        <v>5</v>
      </c>
      <c r="G2" s="30" t="s">
        <v>6</v>
      </c>
      <c r="H2" s="32" t="s">
        <v>7</v>
      </c>
      <c r="I2" s="31" t="s">
        <v>8</v>
      </c>
      <c r="J2" s="32" t="s">
        <v>9</v>
      </c>
      <c r="K2" s="28" t="s">
        <v>10</v>
      </c>
      <c r="L2" s="30" t="s">
        <v>11</v>
      </c>
    </row>
    <row r="3" spans="1:13">
      <c r="A3" s="1">
        <v>1</v>
      </c>
      <c r="B3" s="34" t="str">
        <f>февраль!B3</f>
        <v>Содержание общ.имущ.дома</v>
      </c>
      <c r="C3" s="8">
        <f>63370+13166.53</f>
        <v>76536.53</v>
      </c>
      <c r="D3" s="18">
        <f>C3+февраль!D3</f>
        <v>222545.73</v>
      </c>
      <c r="E3" s="9">
        <f>56574.57+9754.93</f>
        <v>66329.5</v>
      </c>
      <c r="F3" s="18">
        <f>E3+февраль!F3</f>
        <v>194119.82</v>
      </c>
      <c r="G3" s="18">
        <f>E3-C3</f>
        <v>-10207.029999999999</v>
      </c>
      <c r="H3" s="19">
        <f>F3-D3</f>
        <v>-28425.910000000003</v>
      </c>
      <c r="I3" s="9"/>
      <c r="J3" s="19">
        <f>I3+февраль!J3</f>
        <v>0</v>
      </c>
      <c r="K3" s="8"/>
      <c r="L3" s="18">
        <f>K3+февраль!L3</f>
        <v>0</v>
      </c>
    </row>
    <row r="4" spans="1:13">
      <c r="A4" s="1">
        <f>A3+1</f>
        <v>2</v>
      </c>
      <c r="B4" s="34" t="str">
        <f>февраль!B4</f>
        <v>Отопление</v>
      </c>
      <c r="C4" s="8">
        <f>304584.38+63250.29</f>
        <v>367834.67</v>
      </c>
      <c r="D4" s="18">
        <f>C4+февраль!D4</f>
        <v>1055504.6099999999</v>
      </c>
      <c r="E4" s="9">
        <f>242293.78+52434.48</f>
        <v>294728.26</v>
      </c>
      <c r="F4" s="18">
        <f>E4+февраль!F4</f>
        <v>800229.72</v>
      </c>
      <c r="G4" s="18">
        <f t="shared" ref="G4:H22" si="0">E4-C4</f>
        <v>-73106.409999999974</v>
      </c>
      <c r="H4" s="19">
        <f t="shared" si="0"/>
        <v>-255274.8899999999</v>
      </c>
      <c r="I4" s="9"/>
      <c r="J4" s="19">
        <f>I4+февраль!J4</f>
        <v>0</v>
      </c>
      <c r="K4" s="8"/>
      <c r="L4" s="18">
        <f>K4+февраль!L4</f>
        <v>0</v>
      </c>
      <c r="M4" s="24">
        <f>L4-J4</f>
        <v>0</v>
      </c>
    </row>
    <row r="5" spans="1:13">
      <c r="A5" s="1">
        <f t="shared" ref="A5:A22" si="1">A4+1</f>
        <v>3</v>
      </c>
      <c r="B5" s="34" t="str">
        <f>февраль!B5</f>
        <v>Горячее водоснабжение</v>
      </c>
      <c r="C5" s="8">
        <f>129203.81+31108.47</f>
        <v>160312.28</v>
      </c>
      <c r="D5" s="18">
        <f>C5+февраль!D5</f>
        <v>468402.28</v>
      </c>
      <c r="E5" s="9">
        <f>120438.09+27682.08</f>
        <v>148120.16999999998</v>
      </c>
      <c r="F5" s="18">
        <f>E5+февраль!F5</f>
        <v>420649.44</v>
      </c>
      <c r="G5" s="18">
        <f t="shared" si="0"/>
        <v>-12192.110000000015</v>
      </c>
      <c r="H5" s="19">
        <f t="shared" si="0"/>
        <v>-47752.840000000026</v>
      </c>
      <c r="I5" s="9"/>
      <c r="J5" s="19">
        <f>I5+февраль!J5</f>
        <v>0</v>
      </c>
      <c r="K5" s="8"/>
      <c r="L5" s="18">
        <f>K5+февраль!L5</f>
        <v>0</v>
      </c>
    </row>
    <row r="6" spans="1:13">
      <c r="A6" s="1">
        <f t="shared" si="1"/>
        <v>4</v>
      </c>
      <c r="B6" s="34" t="str">
        <f>февраль!B6</f>
        <v>Сод.и ремонт АППЗ</v>
      </c>
      <c r="C6" s="8">
        <f>2344.1+486.86</f>
        <v>2830.96</v>
      </c>
      <c r="D6" s="18">
        <f>C6+февраль!D6</f>
        <v>8265.869999999999</v>
      </c>
      <c r="E6" s="9">
        <f>2092.11+423.5</f>
        <v>2515.61</v>
      </c>
      <c r="F6" s="18">
        <f>E6+февраль!F6</f>
        <v>7272.24</v>
      </c>
      <c r="G6" s="18">
        <f t="shared" si="0"/>
        <v>-315.34999999999991</v>
      </c>
      <c r="H6" s="19">
        <f t="shared" si="0"/>
        <v>-993.6299999999992</v>
      </c>
      <c r="I6" s="9"/>
      <c r="J6" s="19">
        <f>I6+февраль!J6</f>
        <v>0</v>
      </c>
      <c r="K6" s="8"/>
      <c r="L6" s="18">
        <f>K6+февраль!L6</f>
        <v>0</v>
      </c>
    </row>
    <row r="7" spans="1:13">
      <c r="A7" s="1">
        <f t="shared" si="1"/>
        <v>5</v>
      </c>
      <c r="B7" s="34" t="str">
        <f>февраль!B7</f>
        <v>Сод.и ремонт лифтов</v>
      </c>
      <c r="C7" s="8">
        <f>15537.33+3263.98</f>
        <v>18801.310000000001</v>
      </c>
      <c r="D7" s="18">
        <f>C7+февраль!D7</f>
        <v>54746.679999999993</v>
      </c>
      <c r="E7" s="9">
        <f>13882.76+2835.29</f>
        <v>16718.05</v>
      </c>
      <c r="F7" s="18">
        <f>E7+февраль!F7</f>
        <v>49121.270000000004</v>
      </c>
      <c r="G7" s="18">
        <f t="shared" si="0"/>
        <v>-2083.260000000002</v>
      </c>
      <c r="H7" s="19">
        <f t="shared" si="0"/>
        <v>-5625.4099999999889</v>
      </c>
      <c r="I7" s="9"/>
      <c r="J7" s="19">
        <f>I7+февраль!J7</f>
        <v>0</v>
      </c>
      <c r="K7" s="8"/>
      <c r="L7" s="18">
        <f>K7+февраль!L7</f>
        <v>0</v>
      </c>
    </row>
    <row r="8" spans="1:13">
      <c r="A8" s="1">
        <f t="shared" si="1"/>
        <v>6</v>
      </c>
      <c r="B8" s="34" t="str">
        <f>февраль!B8</f>
        <v>Очистка мусоропроводов</v>
      </c>
      <c r="C8" s="8">
        <f>7244.62+1571.12</f>
        <v>8815.74</v>
      </c>
      <c r="D8" s="18">
        <f>C8+февраль!D8</f>
        <v>25784.29</v>
      </c>
      <c r="E8" s="9">
        <f>6365.72+1353.85</f>
        <v>7719.57</v>
      </c>
      <c r="F8" s="18">
        <f>E8+февраль!F8</f>
        <v>22501.62</v>
      </c>
      <c r="G8" s="18">
        <f t="shared" si="0"/>
        <v>-1096.17</v>
      </c>
      <c r="H8" s="19">
        <f t="shared" si="0"/>
        <v>-3282.6700000000019</v>
      </c>
      <c r="I8" s="9"/>
      <c r="J8" s="19">
        <f>I8+февраль!J8</f>
        <v>0</v>
      </c>
      <c r="K8" s="8"/>
      <c r="L8" s="18">
        <f>K8+февраль!L8</f>
        <v>0</v>
      </c>
    </row>
    <row r="9" spans="1:13">
      <c r="A9" s="1">
        <f t="shared" si="1"/>
        <v>7</v>
      </c>
      <c r="B9" s="34" t="str">
        <f>февраль!B9</f>
        <v>Уборка и сан.очистка зем.уч.</v>
      </c>
      <c r="C9" s="8">
        <f>9743.95+2024.79</f>
        <v>11768.740000000002</v>
      </c>
      <c r="D9" s="18">
        <f>C9+февраль!D9</f>
        <v>34489.950000000004</v>
      </c>
      <c r="E9" s="9">
        <f>8698.5+1741.12</f>
        <v>10439.619999999999</v>
      </c>
      <c r="F9" s="18">
        <f>E9+февраль!F9</f>
        <v>30004.079999999998</v>
      </c>
      <c r="G9" s="18">
        <f t="shared" si="0"/>
        <v>-1329.1200000000026</v>
      </c>
      <c r="H9" s="19">
        <f t="shared" si="0"/>
        <v>-4485.8700000000063</v>
      </c>
      <c r="I9" s="9"/>
      <c r="J9" s="19">
        <f>I9+февраль!J9</f>
        <v>0</v>
      </c>
      <c r="K9" s="8"/>
      <c r="L9" s="18">
        <f>K9+февраль!L9</f>
        <v>0</v>
      </c>
    </row>
    <row r="10" spans="1:13">
      <c r="A10" s="1">
        <f t="shared" si="1"/>
        <v>8</v>
      </c>
      <c r="B10" s="34" t="str">
        <f>февраль!B10</f>
        <v>Холодная вода</v>
      </c>
      <c r="C10" s="8">
        <f>49963.25+12181.17</f>
        <v>62144.42</v>
      </c>
      <c r="D10" s="18">
        <f>C10+февраль!D10</f>
        <v>182144.41999999998</v>
      </c>
      <c r="E10" s="9">
        <f>47097.97+10613.84</f>
        <v>57711.81</v>
      </c>
      <c r="F10" s="18">
        <f>E10+февраль!F10</f>
        <v>162638.82</v>
      </c>
      <c r="G10" s="18">
        <f t="shared" si="0"/>
        <v>-4432.6100000000006</v>
      </c>
      <c r="H10" s="19">
        <f t="shared" si="0"/>
        <v>-19505.599999999977</v>
      </c>
      <c r="I10" s="9"/>
      <c r="J10" s="19">
        <f>I10+февраль!J10</f>
        <v>0</v>
      </c>
      <c r="K10" s="8"/>
      <c r="L10" s="18">
        <f>K10+февраль!L10</f>
        <v>0</v>
      </c>
    </row>
    <row r="11" spans="1:13">
      <c r="A11" s="1">
        <f t="shared" si="1"/>
        <v>9</v>
      </c>
      <c r="B11" s="34" t="str">
        <f>февраль!B11</f>
        <v>Канализир.х.воды</v>
      </c>
      <c r="C11" s="8">
        <v>0</v>
      </c>
      <c r="D11" s="18">
        <f>C11+февраль!D11</f>
        <v>0</v>
      </c>
      <c r="E11" s="9">
        <v>1227.03</v>
      </c>
      <c r="F11" s="18">
        <f>E11+февраль!F11</f>
        <v>1227.03</v>
      </c>
      <c r="G11" s="18">
        <f t="shared" si="0"/>
        <v>1227.03</v>
      </c>
      <c r="H11" s="19">
        <f t="shared" si="0"/>
        <v>1227.03</v>
      </c>
      <c r="I11" s="9"/>
      <c r="J11" s="19">
        <f>I11+февраль!J11</f>
        <v>0</v>
      </c>
      <c r="K11" s="8"/>
      <c r="L11" s="18">
        <f>K11+февраль!L11</f>
        <v>0</v>
      </c>
    </row>
    <row r="12" spans="1:13">
      <c r="A12" s="1">
        <f t="shared" si="1"/>
        <v>10</v>
      </c>
      <c r="B12" s="34" t="str">
        <f>февраль!B12</f>
        <v>Канализир.г.воды</v>
      </c>
      <c r="C12" s="8">
        <v>0</v>
      </c>
      <c r="D12" s="18">
        <f>C12+февраль!D12</f>
        <v>0</v>
      </c>
      <c r="E12" s="9">
        <v>836.39</v>
      </c>
      <c r="F12" s="18">
        <f>E12+февраль!F12</f>
        <v>836.39</v>
      </c>
      <c r="G12" s="18">
        <f t="shared" si="0"/>
        <v>836.39</v>
      </c>
      <c r="H12" s="19">
        <f t="shared" si="0"/>
        <v>836.39</v>
      </c>
      <c r="I12" s="9"/>
      <c r="J12" s="19">
        <f>I12+февраль!J12</f>
        <v>0</v>
      </c>
      <c r="K12" s="8"/>
      <c r="L12" s="18">
        <f>K12+февраль!L12</f>
        <v>0</v>
      </c>
    </row>
    <row r="13" spans="1:13">
      <c r="A13" s="1">
        <f t="shared" si="1"/>
        <v>11</v>
      </c>
      <c r="B13" s="34" t="str">
        <f>февраль!B13</f>
        <v>Тек.рем.общ.имущ.дома</v>
      </c>
      <c r="C13" s="8">
        <f>33070.9+6870.94</f>
        <v>39941.840000000004</v>
      </c>
      <c r="D13" s="18">
        <f>C13+февраль!D13</f>
        <v>116781.57999999999</v>
      </c>
      <c r="E13" s="9">
        <f>29524.27+5940.58</f>
        <v>35464.85</v>
      </c>
      <c r="F13" s="18">
        <f>E13+февраль!F13</f>
        <v>102691.31</v>
      </c>
      <c r="G13" s="18">
        <f t="shared" si="0"/>
        <v>-4476.9900000000052</v>
      </c>
      <c r="H13" s="19">
        <f t="shared" si="0"/>
        <v>-14090.26999999999</v>
      </c>
      <c r="I13" s="9"/>
      <c r="J13" s="19">
        <f>I13+февраль!J13</f>
        <v>0</v>
      </c>
      <c r="K13" s="8"/>
      <c r="L13" s="18">
        <f>K13+февраль!L13</f>
        <v>0</v>
      </c>
    </row>
    <row r="14" spans="1:13">
      <c r="A14" s="1">
        <f t="shared" si="1"/>
        <v>12</v>
      </c>
      <c r="B14" s="34" t="str">
        <f>февраль!B14</f>
        <v>Управление многокв.домом</v>
      </c>
      <c r="C14" s="8">
        <f>13668.94+2843.56</f>
        <v>16512.5</v>
      </c>
      <c r="D14" s="18">
        <f>C14+февраль!D14</f>
        <v>48209.919999999998</v>
      </c>
      <c r="E14" s="9">
        <f>12217.4+2084.45</f>
        <v>14301.849999999999</v>
      </c>
      <c r="F14" s="18">
        <f>E14+февраль!F14</f>
        <v>41604.659999999996</v>
      </c>
      <c r="G14" s="18">
        <f t="shared" si="0"/>
        <v>-2210.6500000000015</v>
      </c>
      <c r="H14" s="19">
        <f t="shared" si="0"/>
        <v>-6605.260000000002</v>
      </c>
      <c r="I14" s="9"/>
      <c r="J14" s="19">
        <f>I14+февраль!J14</f>
        <v>0</v>
      </c>
      <c r="K14" s="8"/>
      <c r="L14" s="18">
        <f>K14+февраль!L14</f>
        <v>0</v>
      </c>
    </row>
    <row r="15" spans="1:13">
      <c r="A15" s="1">
        <f t="shared" si="1"/>
        <v>13</v>
      </c>
      <c r="B15" s="34" t="str">
        <f>февраль!B15</f>
        <v>Водоотведение(кв)</v>
      </c>
      <c r="C15" s="8">
        <f>85851.26+20826.27</f>
        <v>106677.53</v>
      </c>
      <c r="D15" s="18">
        <f>C15+февраль!D15</f>
        <v>312403.48</v>
      </c>
      <c r="E15" s="9">
        <f>80560.69+16342.46</f>
        <v>96903.15</v>
      </c>
      <c r="F15" s="18">
        <f>E15+февраль!F15</f>
        <v>277789.06</v>
      </c>
      <c r="G15" s="18">
        <f t="shared" si="0"/>
        <v>-9774.3800000000047</v>
      </c>
      <c r="H15" s="19">
        <f t="shared" si="0"/>
        <v>-34614.419999999984</v>
      </c>
      <c r="I15" s="9"/>
      <c r="J15" s="19">
        <f>I15+февраль!J15</f>
        <v>0</v>
      </c>
      <c r="K15" s="8"/>
      <c r="L15" s="18">
        <f>K15+февраль!L15</f>
        <v>0</v>
      </c>
    </row>
    <row r="16" spans="1:13" ht="17.25" customHeight="1">
      <c r="A16" s="1">
        <f t="shared" si="1"/>
        <v>14</v>
      </c>
      <c r="B16" s="34" t="str">
        <f>февраль!B16</f>
        <v>Электроснабж.на общед.нужды</v>
      </c>
      <c r="C16" s="8">
        <f>6662+1383.52+525.76</f>
        <v>8571.2800000000007</v>
      </c>
      <c r="D16" s="18">
        <f>C16+февраль!D16</f>
        <v>23649.989999999998</v>
      </c>
      <c r="E16" s="9">
        <f>5589.29+1177.5+327.52</f>
        <v>7094.3099999999995</v>
      </c>
      <c r="F16" s="18">
        <f>E16+февраль!F16</f>
        <v>19132.010000000002</v>
      </c>
      <c r="G16" s="18">
        <f t="shared" si="0"/>
        <v>-1476.9700000000012</v>
      </c>
      <c r="H16" s="19">
        <f t="shared" si="0"/>
        <v>-4517.9799999999959</v>
      </c>
      <c r="I16" s="9"/>
      <c r="J16" s="19">
        <f>I16+февраль!J16</f>
        <v>0</v>
      </c>
      <c r="K16" s="8"/>
      <c r="L16" s="18">
        <f>K16+февраль!L16</f>
        <v>0</v>
      </c>
    </row>
    <row r="17" spans="1:12">
      <c r="A17" s="1">
        <f t="shared" si="1"/>
        <v>15</v>
      </c>
      <c r="B17" s="34" t="str">
        <f>февраль!B17</f>
        <v>Эксплуатация общедом.ПУ</v>
      </c>
      <c r="C17" s="8">
        <f>3515.82+730.23</f>
        <v>4246.05</v>
      </c>
      <c r="D17" s="18">
        <f>C17+февраль!D17</f>
        <v>12431.369999999999</v>
      </c>
      <c r="E17" s="9">
        <f>3137.92+647.22</f>
        <v>3785.1400000000003</v>
      </c>
      <c r="F17" s="18">
        <f>E17+февраль!F17</f>
        <v>11237.84</v>
      </c>
      <c r="G17" s="18">
        <f t="shared" si="0"/>
        <v>-460.90999999999985</v>
      </c>
      <c r="H17" s="19">
        <f t="shared" si="0"/>
        <v>-1193.5299999999988</v>
      </c>
      <c r="I17" s="9"/>
      <c r="J17" s="19">
        <f>I17+февраль!J17</f>
        <v>0</v>
      </c>
      <c r="K17" s="8"/>
      <c r="L17" s="18">
        <f>K17+февраль!L17</f>
        <v>0</v>
      </c>
    </row>
    <row r="18" spans="1:12">
      <c r="A18" s="1">
        <f t="shared" si="1"/>
        <v>16</v>
      </c>
      <c r="B18" s="34" t="str">
        <f>февраль!B18</f>
        <v>Водоотведение(о/д нужды)</v>
      </c>
      <c r="C18" s="8">
        <v>0</v>
      </c>
      <c r="D18" s="18">
        <f>C18+февраль!D18</f>
        <v>0</v>
      </c>
      <c r="E18" s="9">
        <v>0</v>
      </c>
      <c r="F18" s="18">
        <f>E18+февраль!F18</f>
        <v>0</v>
      </c>
      <c r="G18" s="18">
        <f t="shared" si="0"/>
        <v>0</v>
      </c>
      <c r="H18" s="19">
        <f t="shared" si="0"/>
        <v>0</v>
      </c>
      <c r="I18" s="9"/>
      <c r="J18" s="19">
        <f>I18+февраль!J18</f>
        <v>0</v>
      </c>
      <c r="K18" s="8"/>
      <c r="L18" s="18">
        <f>K18+февраль!L18</f>
        <v>0</v>
      </c>
    </row>
    <row r="19" spans="1:12">
      <c r="A19" s="1">
        <f t="shared" si="1"/>
        <v>17</v>
      </c>
      <c r="B19" s="34" t="str">
        <f>февраль!B19</f>
        <v>Отопление (о/д нужды)</v>
      </c>
      <c r="C19" s="8">
        <v>0</v>
      </c>
      <c r="D19" s="18">
        <f>C19+февраль!D19</f>
        <v>0</v>
      </c>
      <c r="E19" s="9">
        <v>0</v>
      </c>
      <c r="F19" s="18">
        <f>E19+февраль!F19</f>
        <v>361.06</v>
      </c>
      <c r="G19" s="18">
        <f t="shared" si="0"/>
        <v>0</v>
      </c>
      <c r="H19" s="19">
        <f t="shared" si="0"/>
        <v>361.06</v>
      </c>
      <c r="I19" s="9"/>
      <c r="J19" s="19">
        <f>I19+февраль!J19</f>
        <v>0</v>
      </c>
      <c r="K19" s="8"/>
      <c r="L19" s="18">
        <f>K19+февраль!L19</f>
        <v>0</v>
      </c>
    </row>
    <row r="20" spans="1:12">
      <c r="A20" s="1">
        <f t="shared" si="1"/>
        <v>18</v>
      </c>
      <c r="B20" s="34" t="str">
        <f>февраль!B20</f>
        <v>Гор.водоснабж.(о/д нужды)</v>
      </c>
      <c r="C20" s="8">
        <f>3997.36+827.95</f>
        <v>4825.3100000000004</v>
      </c>
      <c r="D20" s="18">
        <f>C20+февраль!D20</f>
        <v>14213.870000000003</v>
      </c>
      <c r="E20" s="9">
        <f>3558.59+712.4</f>
        <v>4270.99</v>
      </c>
      <c r="F20" s="18">
        <f>E20+февраль!F20</f>
        <v>12425.6</v>
      </c>
      <c r="G20" s="18">
        <f t="shared" si="0"/>
        <v>-554.32000000000062</v>
      </c>
      <c r="H20" s="19">
        <f t="shared" si="0"/>
        <v>-1788.2700000000023</v>
      </c>
      <c r="I20" s="9"/>
      <c r="J20" s="19">
        <f>I20+февраль!J20</f>
        <v>0</v>
      </c>
      <c r="K20" s="8"/>
      <c r="L20" s="18">
        <f>K20+февраль!L20</f>
        <v>0</v>
      </c>
    </row>
    <row r="21" spans="1:12">
      <c r="A21" s="1">
        <f t="shared" si="1"/>
        <v>19</v>
      </c>
      <c r="B21" s="34" t="str">
        <f>февраль!B21</f>
        <v>Холодн водосн о/д нужды</v>
      </c>
      <c r="C21" s="8">
        <f>1805.37+371.8</f>
        <v>2177.17</v>
      </c>
      <c r="D21" s="18">
        <f>C21+февраль!D21</f>
        <v>6412.21</v>
      </c>
      <c r="E21" s="9">
        <f>1619.9+305.83</f>
        <v>1925.73</v>
      </c>
      <c r="F21" s="18">
        <f>E21+февраль!F21</f>
        <v>5579.55</v>
      </c>
      <c r="G21" s="18">
        <f t="shared" si="0"/>
        <v>-251.44000000000005</v>
      </c>
      <c r="H21" s="19">
        <f t="shared" si="0"/>
        <v>-832.65999999999985</v>
      </c>
      <c r="I21" s="9"/>
      <c r="J21" s="19">
        <f>I21+февраль!J21</f>
        <v>0</v>
      </c>
      <c r="K21" s="8"/>
      <c r="L21" s="18">
        <f>K21+февраль!L21</f>
        <v>0</v>
      </c>
    </row>
    <row r="22" spans="1:12">
      <c r="A22" s="1">
        <f t="shared" si="1"/>
        <v>20</v>
      </c>
      <c r="B22" s="34">
        <f>февраль!B22</f>
        <v>0</v>
      </c>
      <c r="C22" s="8"/>
      <c r="D22" s="18">
        <f>C22+февраль!D22</f>
        <v>0</v>
      </c>
      <c r="E22" s="9"/>
      <c r="F22" s="18">
        <f>E22+февраль!F22</f>
        <v>0</v>
      </c>
      <c r="G22" s="18">
        <f t="shared" si="0"/>
        <v>0</v>
      </c>
      <c r="H22" s="19">
        <f t="shared" si="0"/>
        <v>0</v>
      </c>
      <c r="I22" s="9"/>
      <c r="J22" s="19">
        <f>I22+февраль!J22</f>
        <v>0</v>
      </c>
      <c r="K22" s="8"/>
      <c r="L22" s="18">
        <f>K22+февраль!L22</f>
        <v>0</v>
      </c>
    </row>
    <row r="23" spans="1:12">
      <c r="A23" s="21"/>
      <c r="B23" s="25" t="s">
        <v>12</v>
      </c>
      <c r="C23" s="22">
        <f t="shared" ref="C23:L23" si="2">SUM(C3:C22)</f>
        <v>891996.33000000019</v>
      </c>
      <c r="D23" s="22">
        <f t="shared" si="2"/>
        <v>2585986.25</v>
      </c>
      <c r="E23" s="23">
        <f t="shared" si="2"/>
        <v>770092.02999999991</v>
      </c>
      <c r="F23" s="22">
        <f t="shared" si="2"/>
        <v>2159421.5199999996</v>
      </c>
      <c r="G23" s="22">
        <f t="shared" si="2"/>
        <v>-121904.30000000005</v>
      </c>
      <c r="H23" s="23">
        <f t="shared" si="2"/>
        <v>-426564.72999999975</v>
      </c>
      <c r="I23" s="23">
        <f t="shared" si="2"/>
        <v>0</v>
      </c>
      <c r="J23" s="23">
        <f t="shared" si="2"/>
        <v>0</v>
      </c>
      <c r="K23" s="22">
        <f t="shared" si="2"/>
        <v>0</v>
      </c>
      <c r="L23" s="22">
        <f t="shared" si="2"/>
        <v>0</v>
      </c>
    </row>
    <row r="26" spans="1:12">
      <c r="B26" s="38" t="s">
        <v>34</v>
      </c>
      <c r="C26" s="9">
        <f t="shared" ref="C26:H26" si="3">C3+C6+C7+C8+C9+C13+C14+C17</f>
        <v>179453.67</v>
      </c>
      <c r="D26" s="9">
        <f t="shared" si="3"/>
        <v>523255.38999999996</v>
      </c>
      <c r="E26" s="9">
        <f t="shared" si="3"/>
        <v>157274.19000000003</v>
      </c>
      <c r="F26" s="9">
        <f t="shared" si="3"/>
        <v>458552.84</v>
      </c>
      <c r="G26" s="9">
        <f t="shared" si="3"/>
        <v>-22179.48000000001</v>
      </c>
      <c r="H26" s="9">
        <f t="shared" si="3"/>
        <v>-64702.549999999996</v>
      </c>
    </row>
    <row r="28" spans="1:12">
      <c r="B28" s="1" t="s">
        <v>35</v>
      </c>
      <c r="C28" s="9">
        <f>C10+C11+C12+C15+C18+C21</f>
        <v>170999.12000000002</v>
      </c>
      <c r="D28" s="9">
        <f t="shared" ref="D28:J28" si="4">D10+D11+D12+D15+D18+D21</f>
        <v>500960.11</v>
      </c>
      <c r="E28" s="9">
        <f t="shared" si="4"/>
        <v>158604.11000000002</v>
      </c>
      <c r="F28" s="9">
        <f t="shared" si="4"/>
        <v>448070.85000000003</v>
      </c>
      <c r="G28" s="9">
        <f t="shared" si="4"/>
        <v>-12395.010000000006</v>
      </c>
      <c r="H28" s="9">
        <f t="shared" si="4"/>
        <v>-52889.259999999966</v>
      </c>
      <c r="I28" s="9">
        <f t="shared" si="4"/>
        <v>0</v>
      </c>
      <c r="J28" s="9">
        <f t="shared" si="4"/>
        <v>0</v>
      </c>
    </row>
    <row r="29" spans="1:12">
      <c r="B29" s="1" t="s">
        <v>36</v>
      </c>
      <c r="C29" s="9">
        <f>C16</f>
        <v>8571.2800000000007</v>
      </c>
      <c r="D29" s="9">
        <f t="shared" ref="D29:J29" si="5">D16</f>
        <v>23649.989999999998</v>
      </c>
      <c r="E29" s="9">
        <f t="shared" si="5"/>
        <v>7094.3099999999995</v>
      </c>
      <c r="F29" s="9">
        <f t="shared" si="5"/>
        <v>19132.010000000002</v>
      </c>
      <c r="G29" s="9">
        <f t="shared" si="5"/>
        <v>-1476.9700000000012</v>
      </c>
      <c r="H29" s="9">
        <f t="shared" si="5"/>
        <v>-4517.9799999999959</v>
      </c>
      <c r="I29" s="9">
        <f t="shared" si="5"/>
        <v>0</v>
      </c>
      <c r="J29" s="9">
        <f t="shared" si="5"/>
        <v>0</v>
      </c>
    </row>
    <row r="30" spans="1:12">
      <c r="B30" s="1" t="s">
        <v>37</v>
      </c>
      <c r="C30" s="9">
        <f>C4+C5+C19+C20</f>
        <v>532972.26</v>
      </c>
      <c r="D30" s="9">
        <f t="shared" ref="D30:J30" si="6">D4+D5+D19+D20</f>
        <v>1538120.76</v>
      </c>
      <c r="E30" s="9">
        <f t="shared" si="6"/>
        <v>447119.42</v>
      </c>
      <c r="F30" s="9">
        <f t="shared" si="6"/>
        <v>1233665.82</v>
      </c>
      <c r="G30" s="9">
        <f t="shared" si="6"/>
        <v>-85852.84</v>
      </c>
      <c r="H30" s="9">
        <f t="shared" si="6"/>
        <v>-304454.93999999994</v>
      </c>
      <c r="I30" s="9">
        <f t="shared" si="6"/>
        <v>0</v>
      </c>
      <c r="J30" s="9">
        <f t="shared" si="6"/>
        <v>0</v>
      </c>
    </row>
    <row r="33" spans="2:9">
      <c r="C33">
        <f>731088.85+160907.48</f>
        <v>891996.33</v>
      </c>
      <c r="E33">
        <f>633979.08+136112.95</f>
        <v>770092.03</v>
      </c>
    </row>
    <row r="34" spans="2:9">
      <c r="B34" s="53"/>
      <c r="C34" s="52"/>
      <c r="E34" s="24"/>
    </row>
    <row r="36" spans="2:9">
      <c r="H36" s="11"/>
      <c r="I36" s="11"/>
    </row>
    <row r="39" spans="2:9">
      <c r="C39" s="43"/>
    </row>
  </sheetData>
  <phoneticPr fontId="0" type="noConversion"/>
  <pageMargins left="0" right="0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M36"/>
  <sheetViews>
    <sheetView workbookViewId="0">
      <selection activeCell="C30" sqref="C30"/>
    </sheetView>
  </sheetViews>
  <sheetFormatPr defaultRowHeight="12.75"/>
  <cols>
    <col min="1" max="1" width="4" customWidth="1"/>
    <col min="2" max="2" width="27.140625" customWidth="1"/>
    <col min="3" max="3" width="10.42578125" customWidth="1"/>
    <col min="4" max="4" width="11.42578125" customWidth="1"/>
    <col min="5" max="5" width="10" customWidth="1"/>
    <col min="6" max="6" width="12" customWidth="1"/>
    <col min="7" max="7" width="11.140625" customWidth="1"/>
    <col min="8" max="8" width="12.42578125" customWidth="1"/>
    <col min="9" max="9" width="9.85546875" customWidth="1"/>
    <col min="10" max="10" width="11" customWidth="1"/>
    <col min="11" max="11" width="10.140625" bestFit="1" customWidth="1"/>
    <col min="12" max="12" width="10.85546875" customWidth="1"/>
    <col min="13" max="13" width="10.7109375" bestFit="1" customWidth="1"/>
  </cols>
  <sheetData>
    <row r="2" spans="1:13">
      <c r="B2" s="11" t="s">
        <v>18</v>
      </c>
      <c r="D2" s="13" t="s">
        <v>43</v>
      </c>
    </row>
    <row r="3" spans="1:13" ht="38.25">
      <c r="A3" s="14" t="s">
        <v>0</v>
      </c>
      <c r="B3" s="15" t="s">
        <v>1</v>
      </c>
      <c r="C3" s="16" t="s">
        <v>2</v>
      </c>
      <c r="D3" s="15" t="s">
        <v>3</v>
      </c>
      <c r="E3" s="17" t="s">
        <v>4</v>
      </c>
      <c r="F3" s="15" t="s">
        <v>5</v>
      </c>
      <c r="G3" s="15" t="s">
        <v>6</v>
      </c>
      <c r="H3" s="17" t="s">
        <v>7</v>
      </c>
      <c r="I3" s="17" t="s">
        <v>8</v>
      </c>
      <c r="J3" s="17" t="s">
        <v>9</v>
      </c>
      <c r="K3" s="15" t="s">
        <v>10</v>
      </c>
      <c r="L3" s="15" t="s">
        <v>11</v>
      </c>
    </row>
    <row r="4" spans="1:13">
      <c r="A4" s="1">
        <v>1</v>
      </c>
      <c r="B4" s="34" t="str">
        <f>март!B3</f>
        <v>Содержание общ.имущ.дома</v>
      </c>
      <c r="C4" s="8">
        <f>12699.81+63851.84</f>
        <v>76551.649999999994</v>
      </c>
      <c r="D4" s="18">
        <f>C4+март!D3</f>
        <v>299097.38</v>
      </c>
      <c r="E4" s="9">
        <f>10760.49+61329.26</f>
        <v>72089.75</v>
      </c>
      <c r="F4" s="18">
        <f>E4+март!F3</f>
        <v>266209.57</v>
      </c>
      <c r="G4" s="18">
        <f>E4-C4</f>
        <v>-4461.8999999999942</v>
      </c>
      <c r="H4" s="19">
        <f>F4-D4</f>
        <v>-32887.81</v>
      </c>
      <c r="I4" s="9"/>
      <c r="J4" s="19">
        <f>I4+март!J3</f>
        <v>0</v>
      </c>
      <c r="K4" s="8"/>
      <c r="L4" s="18">
        <f>K4+март!L3</f>
        <v>0</v>
      </c>
    </row>
    <row r="5" spans="1:13">
      <c r="A5" s="1">
        <f>A4+1</f>
        <v>2</v>
      </c>
      <c r="B5" s="34" t="str">
        <f>март!B4</f>
        <v>Отопление</v>
      </c>
      <c r="C5" s="8">
        <f>42061.88+211760.19</f>
        <v>253822.07</v>
      </c>
      <c r="D5" s="18">
        <f>C5+март!D4</f>
        <v>1309326.68</v>
      </c>
      <c r="E5" s="9">
        <f>51576.68+276828.67</f>
        <v>328405.34999999998</v>
      </c>
      <c r="F5" s="18">
        <f>E5+март!F4</f>
        <v>1128635.0699999998</v>
      </c>
      <c r="G5" s="18">
        <f t="shared" ref="G5:H23" si="0">E5-C5</f>
        <v>74583.27999999997</v>
      </c>
      <c r="H5" s="19">
        <f t="shared" si="0"/>
        <v>-180691.6100000001</v>
      </c>
      <c r="I5" s="9"/>
      <c r="J5" s="19">
        <f>I5+март!J4</f>
        <v>0</v>
      </c>
      <c r="K5" s="8"/>
      <c r="L5" s="18">
        <f>K5+март!L4</f>
        <v>0</v>
      </c>
      <c r="M5" s="24"/>
    </row>
    <row r="6" spans="1:13">
      <c r="A6" s="1">
        <f t="shared" ref="A6:A23" si="1">A5+1</f>
        <v>3</v>
      </c>
      <c r="B6" s="34" t="str">
        <f>март!B5</f>
        <v>Горячее водоснабжение</v>
      </c>
      <c r="C6" s="8">
        <f>29706.45+129381.54</f>
        <v>159087.99</v>
      </c>
      <c r="D6" s="18">
        <f>C6+март!D5</f>
        <v>627490.27</v>
      </c>
      <c r="E6" s="9">
        <f>23413.9+112090.7</f>
        <v>135504.6</v>
      </c>
      <c r="F6" s="18">
        <f>E6+март!F5</f>
        <v>556154.04</v>
      </c>
      <c r="G6" s="18">
        <f t="shared" si="0"/>
        <v>-23583.389999999985</v>
      </c>
      <c r="H6" s="19">
        <f t="shared" si="0"/>
        <v>-71336.229999999981</v>
      </c>
      <c r="I6" s="9"/>
      <c r="J6" s="19">
        <f>I6+март!J5</f>
        <v>0</v>
      </c>
      <c r="K6" s="8"/>
      <c r="L6" s="18">
        <f>K6+март!L5</f>
        <v>0</v>
      </c>
    </row>
    <row r="7" spans="1:13">
      <c r="A7" s="1">
        <f t="shared" si="1"/>
        <v>4</v>
      </c>
      <c r="B7" s="34" t="str">
        <f>март!B6</f>
        <v>Сод.и ремонт АППЗ</v>
      </c>
      <c r="C7" s="8">
        <f>469.6+2361.94</f>
        <v>2831.54</v>
      </c>
      <c r="D7" s="18">
        <f>C7+март!D6</f>
        <v>11097.41</v>
      </c>
      <c r="E7" s="9">
        <f>398.36+2307.2</f>
        <v>2705.56</v>
      </c>
      <c r="F7" s="18">
        <f>E7+март!F6</f>
        <v>9977.7999999999993</v>
      </c>
      <c r="G7" s="18">
        <f t="shared" si="0"/>
        <v>-125.98000000000002</v>
      </c>
      <c r="H7" s="19">
        <f t="shared" si="0"/>
        <v>-1119.6100000000006</v>
      </c>
      <c r="I7" s="9"/>
      <c r="J7" s="19">
        <f>I7+март!J6</f>
        <v>0</v>
      </c>
      <c r="K7" s="8"/>
      <c r="L7" s="18">
        <f>K7+март!L6</f>
        <v>0</v>
      </c>
    </row>
    <row r="8" spans="1:13">
      <c r="A8" s="1">
        <f t="shared" si="1"/>
        <v>5</v>
      </c>
      <c r="B8" s="34" t="str">
        <f>март!B7</f>
        <v>Сод.и ремонт лифтов</v>
      </c>
      <c r="C8" s="8">
        <f>3148.28+15631.1</f>
        <v>18779.38</v>
      </c>
      <c r="D8" s="18">
        <f>C8+март!D7</f>
        <v>73526.06</v>
      </c>
      <c r="E8" s="9">
        <f>2684.43+14955.11</f>
        <v>17639.54</v>
      </c>
      <c r="F8" s="18">
        <f>E8+март!F7</f>
        <v>66760.81</v>
      </c>
      <c r="G8" s="18">
        <f t="shared" si="0"/>
        <v>-1139.8400000000001</v>
      </c>
      <c r="H8" s="19">
        <f t="shared" si="0"/>
        <v>-6765.25</v>
      </c>
      <c r="I8" s="9"/>
      <c r="J8" s="19">
        <f>I8+март!J7</f>
        <v>0</v>
      </c>
      <c r="K8" s="8"/>
      <c r="L8" s="18">
        <f>K8+март!L7</f>
        <v>0</v>
      </c>
    </row>
    <row r="9" spans="1:13">
      <c r="A9" s="1">
        <f t="shared" si="1"/>
        <v>6</v>
      </c>
      <c r="B9" s="34" t="str">
        <f>март!B8</f>
        <v>Очистка мусоропроводов</v>
      </c>
      <c r="C9" s="8">
        <f>1515.43+7302.21</f>
        <v>8817.64</v>
      </c>
      <c r="D9" s="18">
        <f>C9+март!D8</f>
        <v>34601.93</v>
      </c>
      <c r="E9" s="9">
        <f>1282.63+6992.04</f>
        <v>8274.67</v>
      </c>
      <c r="F9" s="18">
        <f>E9+март!F8</f>
        <v>30776.29</v>
      </c>
      <c r="G9" s="18">
        <f t="shared" si="0"/>
        <v>-542.96999999999935</v>
      </c>
      <c r="H9" s="19">
        <f t="shared" si="0"/>
        <v>-3825.6399999999994</v>
      </c>
      <c r="I9" s="9"/>
      <c r="J9" s="19">
        <f>I9+март!J8</f>
        <v>0</v>
      </c>
      <c r="K9" s="8"/>
      <c r="L9" s="18">
        <f>K9+март!L8</f>
        <v>0</v>
      </c>
    </row>
    <row r="10" spans="1:13">
      <c r="A10" s="1">
        <f t="shared" si="1"/>
        <v>7</v>
      </c>
      <c r="B10" s="34" t="str">
        <f>март!B9</f>
        <v>Уборка и сан.очистка зем.уч.</v>
      </c>
      <c r="C10" s="8">
        <f>1953.02+9817.8</f>
        <v>11770.82</v>
      </c>
      <c r="D10" s="18">
        <f>C10+март!D9</f>
        <v>46260.770000000004</v>
      </c>
      <c r="E10" s="9">
        <f>1660.87+9339.34</f>
        <v>11000.21</v>
      </c>
      <c r="F10" s="18">
        <f>E10+март!F9</f>
        <v>41004.289999999994</v>
      </c>
      <c r="G10" s="18">
        <f t="shared" si="0"/>
        <v>-770.61000000000058</v>
      </c>
      <c r="H10" s="19">
        <f t="shared" si="0"/>
        <v>-5256.4800000000105</v>
      </c>
      <c r="I10" s="9"/>
      <c r="J10" s="19">
        <f>I10+март!J9</f>
        <v>0</v>
      </c>
      <c r="K10" s="8"/>
      <c r="L10" s="18">
        <f>K10+март!L9</f>
        <v>0</v>
      </c>
    </row>
    <row r="11" spans="1:13">
      <c r="A11" s="1">
        <f t="shared" si="1"/>
        <v>8</v>
      </c>
      <c r="B11" s="34" t="str">
        <f>март!B10</f>
        <v>Холодная вода</v>
      </c>
      <c r="C11" s="8">
        <f>11647.97+50756.39</f>
        <v>62404.36</v>
      </c>
      <c r="D11" s="18">
        <f>C11+март!D10</f>
        <v>244548.77999999997</v>
      </c>
      <c r="E11" s="9">
        <f>9201.61+42730.21</f>
        <v>51931.82</v>
      </c>
      <c r="F11" s="18">
        <f>E11+март!F10</f>
        <v>214570.64</v>
      </c>
      <c r="G11" s="18">
        <f t="shared" si="0"/>
        <v>-10472.540000000001</v>
      </c>
      <c r="H11" s="19">
        <f t="shared" si="0"/>
        <v>-29978.139999999956</v>
      </c>
      <c r="I11" s="9"/>
      <c r="J11" s="19">
        <f>I11+март!J10</f>
        <v>0</v>
      </c>
      <c r="K11" s="8"/>
      <c r="L11" s="18">
        <f>K11+март!L10</f>
        <v>0</v>
      </c>
    </row>
    <row r="12" spans="1:13">
      <c r="A12" s="1">
        <f t="shared" si="1"/>
        <v>9</v>
      </c>
      <c r="B12" s="34" t="str">
        <f>март!B11</f>
        <v>Канализир.х.воды</v>
      </c>
      <c r="C12" s="8">
        <v>0</v>
      </c>
      <c r="D12" s="18">
        <f>C12+март!D11</f>
        <v>0</v>
      </c>
      <c r="E12" s="9">
        <v>190.8</v>
      </c>
      <c r="F12" s="18">
        <f>E12+март!F11</f>
        <v>1417.83</v>
      </c>
      <c r="G12" s="18">
        <f t="shared" si="0"/>
        <v>190.8</v>
      </c>
      <c r="H12" s="19">
        <f t="shared" si="0"/>
        <v>1417.83</v>
      </c>
      <c r="I12" s="9"/>
      <c r="J12" s="19">
        <f>I12+март!J11</f>
        <v>0</v>
      </c>
      <c r="K12" s="8"/>
      <c r="L12" s="18">
        <f>K12+март!L11</f>
        <v>0</v>
      </c>
    </row>
    <row r="13" spans="1:13">
      <c r="A13" s="1">
        <f t="shared" si="1"/>
        <v>10</v>
      </c>
      <c r="B13" s="34" t="str">
        <f>март!B12</f>
        <v>Канализир.г.воды</v>
      </c>
      <c r="C13" s="8">
        <v>0</v>
      </c>
      <c r="D13" s="18">
        <f>C13+март!D12</f>
        <v>0</v>
      </c>
      <c r="E13" s="9">
        <v>130.04</v>
      </c>
      <c r="F13" s="18">
        <f>E13+март!F12</f>
        <v>966.43</v>
      </c>
      <c r="G13" s="18">
        <f t="shared" si="0"/>
        <v>130.04</v>
      </c>
      <c r="H13" s="19">
        <f t="shared" si="0"/>
        <v>966.43</v>
      </c>
      <c r="I13" s="9"/>
      <c r="J13" s="19">
        <f>I13+март!J12</f>
        <v>0</v>
      </c>
      <c r="K13" s="8"/>
      <c r="L13" s="18">
        <f>K13+март!L12</f>
        <v>0</v>
      </c>
    </row>
    <row r="14" spans="1:13">
      <c r="A14" s="1">
        <f t="shared" si="1"/>
        <v>11</v>
      </c>
      <c r="B14" s="34" t="str">
        <f>март!B13</f>
        <v>Тек.рем.общ.имущ.дома</v>
      </c>
      <c r="C14" s="8">
        <f>6627.38+33328.83</f>
        <v>39956.21</v>
      </c>
      <c r="D14" s="18">
        <f>C14+март!D13</f>
        <v>156737.78999999998</v>
      </c>
      <c r="E14" s="9">
        <f>5627+33017.45</f>
        <v>38644.449999999997</v>
      </c>
      <c r="F14" s="18">
        <f>E14+март!F13</f>
        <v>141335.76</v>
      </c>
      <c r="G14" s="18">
        <f t="shared" si="0"/>
        <v>-1311.760000000002</v>
      </c>
      <c r="H14" s="19">
        <f t="shared" si="0"/>
        <v>-15402.02999999997</v>
      </c>
      <c r="I14" s="9"/>
      <c r="J14" s="19">
        <f>I14+март!J13</f>
        <v>0</v>
      </c>
      <c r="K14" s="8"/>
      <c r="L14" s="18">
        <f>K14+март!L13</f>
        <v>0</v>
      </c>
    </row>
    <row r="15" spans="1:13">
      <c r="A15" s="1">
        <f t="shared" si="1"/>
        <v>12</v>
      </c>
      <c r="B15" s="34" t="str">
        <f>март!B14</f>
        <v>Управление многокв.домом</v>
      </c>
      <c r="C15" s="8">
        <f>2742.76+13790.72</f>
        <v>16533.48</v>
      </c>
      <c r="D15" s="18">
        <f>C15+март!D14</f>
        <v>64743.399999999994</v>
      </c>
      <c r="E15" s="9">
        <f>2320.98+12666.17</f>
        <v>14987.15</v>
      </c>
      <c r="F15" s="18">
        <f>E15+март!F14</f>
        <v>56591.81</v>
      </c>
      <c r="G15" s="18">
        <f t="shared" si="0"/>
        <v>-1546.33</v>
      </c>
      <c r="H15" s="19">
        <f t="shared" si="0"/>
        <v>-8151.5899999999965</v>
      </c>
      <c r="I15" s="9"/>
      <c r="J15" s="19">
        <f>I15+март!J14</f>
        <v>0</v>
      </c>
      <c r="K15" s="8"/>
      <c r="L15" s="18">
        <f>K15+март!L14</f>
        <v>0</v>
      </c>
    </row>
    <row r="16" spans="1:13">
      <c r="A16" s="1">
        <f t="shared" si="1"/>
        <v>13</v>
      </c>
      <c r="B16" s="34" t="str">
        <f>март!B15</f>
        <v>Водоотведение(кв)</v>
      </c>
      <c r="C16" s="8">
        <f>19903.45+86734.61</f>
        <v>106638.06</v>
      </c>
      <c r="D16" s="18">
        <f>C16+март!D15</f>
        <v>419041.54</v>
      </c>
      <c r="E16" s="9">
        <f>15393.36+74107.67</f>
        <v>89501.03</v>
      </c>
      <c r="F16" s="18">
        <f>E16+март!F15</f>
        <v>367290.08999999997</v>
      </c>
      <c r="G16" s="18">
        <f t="shared" si="0"/>
        <v>-17137.03</v>
      </c>
      <c r="H16" s="19">
        <f t="shared" si="0"/>
        <v>-51751.450000000012</v>
      </c>
      <c r="I16" s="9"/>
      <c r="J16" s="19">
        <f>I16+март!J15</f>
        <v>0</v>
      </c>
      <c r="K16" s="8"/>
      <c r="L16" s="18">
        <f>K16+март!L15</f>
        <v>0</v>
      </c>
    </row>
    <row r="17" spans="1:12" ht="17.25" customHeight="1">
      <c r="A17" s="1">
        <f t="shared" si="1"/>
        <v>14</v>
      </c>
      <c r="B17" s="34" t="str">
        <f>март!B16</f>
        <v>Электроснабж.на общед.нужды</v>
      </c>
      <c r="C17" s="8">
        <f>1177.18+5923.81</f>
        <v>7100.9900000000007</v>
      </c>
      <c r="D17" s="18">
        <f>C17+март!D16</f>
        <v>30750.98</v>
      </c>
      <c r="E17" s="9">
        <f>1153.62+6461.91</f>
        <v>7615.53</v>
      </c>
      <c r="F17" s="18">
        <f>E17+март!F16</f>
        <v>26747.54</v>
      </c>
      <c r="G17" s="18">
        <f t="shared" si="0"/>
        <v>514.53999999999905</v>
      </c>
      <c r="H17" s="19">
        <f t="shared" si="0"/>
        <v>-4003.4399999999987</v>
      </c>
      <c r="I17" s="9"/>
      <c r="J17" s="19">
        <f>I17+март!J16</f>
        <v>0</v>
      </c>
      <c r="K17" s="8"/>
      <c r="L17" s="18">
        <f>K17+март!L16</f>
        <v>0</v>
      </c>
    </row>
    <row r="18" spans="1:12">
      <c r="A18" s="1">
        <f t="shared" si="1"/>
        <v>15</v>
      </c>
      <c r="B18" s="34" t="str">
        <f>март!B17</f>
        <v>Эксплуатация общедом.ПУ</v>
      </c>
      <c r="C18" s="8">
        <f>704.34+3542.26</f>
        <v>4246.6000000000004</v>
      </c>
      <c r="D18" s="18">
        <f>C18+март!D17</f>
        <v>16677.97</v>
      </c>
      <c r="E18" s="9">
        <f>588.78+3545.09</f>
        <v>4133.87</v>
      </c>
      <c r="F18" s="18">
        <f>E18+март!F17</f>
        <v>15371.71</v>
      </c>
      <c r="G18" s="18">
        <f t="shared" si="0"/>
        <v>-112.73000000000047</v>
      </c>
      <c r="H18" s="19">
        <f t="shared" si="0"/>
        <v>-1306.260000000002</v>
      </c>
      <c r="I18" s="9"/>
      <c r="J18" s="19">
        <f>I18+март!J17</f>
        <v>0</v>
      </c>
      <c r="K18" s="8"/>
      <c r="L18" s="18">
        <f>K18+март!L17</f>
        <v>0</v>
      </c>
    </row>
    <row r="19" spans="1:12">
      <c r="A19" s="1">
        <f t="shared" si="1"/>
        <v>16</v>
      </c>
      <c r="B19" s="34" t="str">
        <f>март!B18</f>
        <v>Водоотведение(о/д нужды)</v>
      </c>
      <c r="C19" s="8">
        <v>0</v>
      </c>
      <c r="D19" s="18">
        <f>C19+март!D18</f>
        <v>0</v>
      </c>
      <c r="E19" s="8">
        <v>0</v>
      </c>
      <c r="F19" s="18">
        <f>E19+март!F18</f>
        <v>0</v>
      </c>
      <c r="G19" s="18">
        <f t="shared" si="0"/>
        <v>0</v>
      </c>
      <c r="H19" s="19">
        <f t="shared" si="0"/>
        <v>0</v>
      </c>
      <c r="I19" s="9"/>
      <c r="J19" s="19">
        <f>I19+март!J18</f>
        <v>0</v>
      </c>
      <c r="K19" s="8"/>
      <c r="L19" s="18">
        <f>K19+март!L18</f>
        <v>0</v>
      </c>
    </row>
    <row r="20" spans="1:12">
      <c r="A20" s="1">
        <f t="shared" si="1"/>
        <v>17</v>
      </c>
      <c r="B20" s="34" t="str">
        <f>март!B19</f>
        <v>Отопление (о/д нужды)</v>
      </c>
      <c r="C20" s="8">
        <v>0</v>
      </c>
      <c r="D20" s="18">
        <f>C20+март!D19</f>
        <v>0</v>
      </c>
      <c r="E20" s="8">
        <v>0</v>
      </c>
      <c r="F20" s="18">
        <f>E20+март!F19</f>
        <v>361.06</v>
      </c>
      <c r="G20" s="18">
        <f t="shared" si="0"/>
        <v>0</v>
      </c>
      <c r="H20" s="19">
        <f t="shared" si="0"/>
        <v>361.06</v>
      </c>
      <c r="I20" s="9"/>
      <c r="J20" s="19">
        <f>I20+март!J19</f>
        <v>0</v>
      </c>
      <c r="K20" s="8"/>
      <c r="L20" s="18">
        <f>K20+март!L19</f>
        <v>0</v>
      </c>
    </row>
    <row r="21" spans="1:12">
      <c r="A21" s="1">
        <f t="shared" si="1"/>
        <v>18</v>
      </c>
      <c r="B21" s="34" t="str">
        <f>март!B20</f>
        <v>Гор.водоснабж.(о/д нужды)</v>
      </c>
      <c r="C21" s="8">
        <f>798.74+4010.85+525.76</f>
        <v>5335.35</v>
      </c>
      <c r="D21" s="18">
        <f>C21+март!D20</f>
        <v>19549.22</v>
      </c>
      <c r="E21" s="9">
        <f>659.83+3869.84+805.08</f>
        <v>5334.75</v>
      </c>
      <c r="F21" s="18">
        <f>E21+март!F20</f>
        <v>17760.349999999999</v>
      </c>
      <c r="G21" s="18">
        <f t="shared" si="0"/>
        <v>-0.6000000000003638</v>
      </c>
      <c r="H21" s="19">
        <f t="shared" si="0"/>
        <v>-1788.8700000000026</v>
      </c>
      <c r="I21" s="9"/>
      <c r="J21" s="19">
        <f>I21+март!J20</f>
        <v>0</v>
      </c>
      <c r="K21" s="8"/>
      <c r="L21" s="18">
        <f>K21+март!L20</f>
        <v>0</v>
      </c>
    </row>
    <row r="22" spans="1:12">
      <c r="A22" s="1">
        <f t="shared" si="1"/>
        <v>19</v>
      </c>
      <c r="B22" s="34" t="str">
        <f>март!B21</f>
        <v>Холодн водосн о/д нужды</v>
      </c>
      <c r="C22" s="8">
        <f>358.64+1800.03</f>
        <v>2158.67</v>
      </c>
      <c r="D22" s="18">
        <f>C22+март!D21</f>
        <v>8570.880000000001</v>
      </c>
      <c r="E22" s="9">
        <f>323.7+1791.16</f>
        <v>2114.86</v>
      </c>
      <c r="F22" s="18">
        <f>E22+март!F21</f>
        <v>7694.41</v>
      </c>
      <c r="G22" s="18">
        <f t="shared" si="0"/>
        <v>-43.809999999999945</v>
      </c>
      <c r="H22" s="19">
        <f t="shared" si="0"/>
        <v>-876.47000000000116</v>
      </c>
      <c r="I22" s="9"/>
      <c r="J22" s="19">
        <f>I22+март!J21</f>
        <v>0</v>
      </c>
      <c r="K22" s="8"/>
      <c r="L22" s="18">
        <f>K22+март!L21</f>
        <v>0</v>
      </c>
    </row>
    <row r="23" spans="1:12">
      <c r="A23" s="1">
        <f t="shared" si="1"/>
        <v>20</v>
      </c>
      <c r="B23" s="34">
        <f>март!B22</f>
        <v>0</v>
      </c>
      <c r="C23" s="8"/>
      <c r="D23" s="18">
        <f>C23+март!D22</f>
        <v>0</v>
      </c>
      <c r="E23" s="9"/>
      <c r="F23" s="18">
        <f>E23+март!F22</f>
        <v>0</v>
      </c>
      <c r="G23" s="18">
        <f t="shared" si="0"/>
        <v>0</v>
      </c>
      <c r="H23" s="19">
        <f t="shared" si="0"/>
        <v>0</v>
      </c>
      <c r="I23" s="9"/>
      <c r="J23" s="19">
        <f>I23+март!J22</f>
        <v>0</v>
      </c>
      <c r="K23" s="8"/>
      <c r="L23" s="18">
        <f>K23+март!L22</f>
        <v>0</v>
      </c>
    </row>
    <row r="24" spans="1:12" ht="15">
      <c r="A24" s="1"/>
      <c r="B24" s="37" t="s">
        <v>12</v>
      </c>
      <c r="C24" s="22">
        <f>SUM(C4:C23)</f>
        <v>776034.80999999994</v>
      </c>
      <c r="D24" s="18">
        <f t="shared" ref="D24:L24" si="2">SUM(D4:D23)</f>
        <v>3362021.0600000005</v>
      </c>
      <c r="E24" s="23">
        <f>SUM(E4:E23)</f>
        <v>790203.9800000001</v>
      </c>
      <c r="F24" s="18">
        <f t="shared" si="2"/>
        <v>2949625.5000000005</v>
      </c>
      <c r="G24" s="18">
        <f t="shared" si="2"/>
        <v>14169.16999999998</v>
      </c>
      <c r="H24" s="19">
        <f t="shared" si="2"/>
        <v>-412395.56000000006</v>
      </c>
      <c r="I24" s="19">
        <f t="shared" si="2"/>
        <v>0</v>
      </c>
      <c r="J24" s="19">
        <f t="shared" si="2"/>
        <v>0</v>
      </c>
      <c r="K24" s="18">
        <f t="shared" si="2"/>
        <v>0</v>
      </c>
      <c r="L24" s="18">
        <f t="shared" si="2"/>
        <v>0</v>
      </c>
    </row>
    <row r="25" spans="1:12" ht="14.25" customHeight="1"/>
    <row r="26" spans="1:12" ht="14.25" customHeight="1"/>
    <row r="27" spans="1:12" ht="14.25" customHeight="1">
      <c r="B27" s="38" t="s">
        <v>34</v>
      </c>
      <c r="C27" s="9">
        <f t="shared" ref="C27:H27" si="3">C4+C7+C8+C9+C10+C14+C15+C18</f>
        <v>179487.32</v>
      </c>
      <c r="D27" s="9">
        <f t="shared" si="3"/>
        <v>702742.71</v>
      </c>
      <c r="E27" s="9">
        <f t="shared" si="3"/>
        <v>169475.19999999998</v>
      </c>
      <c r="F27" s="9">
        <f t="shared" si="3"/>
        <v>628028.04</v>
      </c>
      <c r="G27" s="9">
        <f t="shared" si="3"/>
        <v>-10012.119999999995</v>
      </c>
      <c r="H27" s="9">
        <f t="shared" si="3"/>
        <v>-74714.669999999984</v>
      </c>
      <c r="I27" s="24"/>
    </row>
    <row r="28" spans="1:12" ht="14.25" customHeight="1"/>
    <row r="29" spans="1:12" ht="14.25" customHeight="1">
      <c r="B29" s="1" t="s">
        <v>35</v>
      </c>
      <c r="C29" s="9">
        <f>C11+C12+C13+C16+C19+C22</f>
        <v>171201.09</v>
      </c>
      <c r="D29" s="9">
        <f t="shared" ref="D29:J29" si="4">D11+D12+D13+D16+D19+D22</f>
        <v>672161.2</v>
      </c>
      <c r="E29" s="9">
        <f t="shared" si="4"/>
        <v>143868.54999999999</v>
      </c>
      <c r="F29" s="9">
        <f t="shared" si="4"/>
        <v>591939.4</v>
      </c>
      <c r="G29" s="9">
        <f t="shared" si="4"/>
        <v>-27332.54</v>
      </c>
      <c r="H29" s="9">
        <f t="shared" si="4"/>
        <v>-80221.799999999959</v>
      </c>
      <c r="I29" s="9">
        <f t="shared" si="4"/>
        <v>0</v>
      </c>
      <c r="J29" s="9">
        <f t="shared" si="4"/>
        <v>0</v>
      </c>
    </row>
    <row r="30" spans="1:12">
      <c r="B30" s="1" t="s">
        <v>36</v>
      </c>
      <c r="C30" s="9">
        <f>C17</f>
        <v>7100.9900000000007</v>
      </c>
      <c r="D30" s="9">
        <f t="shared" ref="D30:J30" si="5">D17</f>
        <v>30750.98</v>
      </c>
      <c r="E30" s="9">
        <f t="shared" si="5"/>
        <v>7615.53</v>
      </c>
      <c r="F30" s="9">
        <f t="shared" si="5"/>
        <v>26747.54</v>
      </c>
      <c r="G30" s="9">
        <f t="shared" si="5"/>
        <v>514.53999999999905</v>
      </c>
      <c r="H30" s="9">
        <f t="shared" si="5"/>
        <v>-4003.4399999999987</v>
      </c>
      <c r="I30" s="9">
        <f t="shared" si="5"/>
        <v>0</v>
      </c>
      <c r="J30" s="9">
        <f t="shared" si="5"/>
        <v>0</v>
      </c>
    </row>
    <row r="31" spans="1:12">
      <c r="B31" s="1" t="s">
        <v>37</v>
      </c>
      <c r="C31" s="9">
        <f>C5+C6+C20+C21</f>
        <v>418245.41</v>
      </c>
      <c r="D31" s="9">
        <f t="shared" ref="D31:J31" si="6">D5+D6+D20+D21</f>
        <v>1956366.17</v>
      </c>
      <c r="E31" s="9">
        <f t="shared" si="6"/>
        <v>469244.69999999995</v>
      </c>
      <c r="F31" s="9">
        <f t="shared" si="6"/>
        <v>1702910.52</v>
      </c>
      <c r="G31" s="9">
        <f t="shared" si="6"/>
        <v>50999.289999999986</v>
      </c>
      <c r="H31" s="9">
        <f t="shared" si="6"/>
        <v>-253455.65000000008</v>
      </c>
      <c r="I31" s="9">
        <f t="shared" si="6"/>
        <v>0</v>
      </c>
      <c r="J31" s="9">
        <f t="shared" si="6"/>
        <v>0</v>
      </c>
    </row>
    <row r="34" spans="3:11">
      <c r="C34">
        <f>135514.93+640519.88</f>
        <v>776034.81</v>
      </c>
      <c r="E34">
        <f>127367.08+662836.9</f>
        <v>790203.98</v>
      </c>
    </row>
    <row r="36" spans="3:11">
      <c r="C36" s="24">
        <f>C34-C24</f>
        <v>0</v>
      </c>
      <c r="J36" s="11"/>
      <c r="K36" s="11"/>
    </row>
  </sheetData>
  <phoneticPr fontId="0" type="noConversion"/>
  <pageMargins left="0" right="0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activeCell="D1" sqref="D1"/>
    </sheetView>
  </sheetViews>
  <sheetFormatPr defaultRowHeight="12.75"/>
  <cols>
    <col min="1" max="1" width="2.85546875" customWidth="1"/>
    <col min="2" max="2" width="30.42578125" customWidth="1"/>
    <col min="3" max="3" width="13.7109375" customWidth="1"/>
    <col min="4" max="4" width="11.85546875" customWidth="1"/>
    <col min="5" max="5" width="14" customWidth="1"/>
    <col min="6" max="6" width="12.5703125" customWidth="1"/>
    <col min="7" max="7" width="11.7109375" customWidth="1"/>
    <col min="8" max="8" width="13.28515625" customWidth="1"/>
    <col min="9" max="9" width="11" customWidth="1"/>
    <col min="10" max="10" width="11.85546875" customWidth="1"/>
    <col min="11" max="11" width="12.42578125" customWidth="1"/>
    <col min="12" max="12" width="11" customWidth="1"/>
    <col min="13" max="13" width="10.7109375" bestFit="1" customWidth="1"/>
  </cols>
  <sheetData>
    <row r="1" spans="1:13">
      <c r="B1" s="11" t="s">
        <v>18</v>
      </c>
      <c r="D1" s="11" t="s">
        <v>44</v>
      </c>
      <c r="E1" s="11"/>
      <c r="F1" s="12"/>
      <c r="G1" s="12"/>
      <c r="I1" s="13"/>
    </row>
    <row r="2" spans="1:13" s="33" customFormat="1" ht="25.5">
      <c r="A2" s="27" t="s">
        <v>0</v>
      </c>
      <c r="B2" s="28" t="s">
        <v>1</v>
      </c>
      <c r="C2" s="29" t="s">
        <v>2</v>
      </c>
      <c r="D2" s="28" t="s">
        <v>3</v>
      </c>
      <c r="E2" s="31" t="s">
        <v>4</v>
      </c>
      <c r="F2" s="28" t="s">
        <v>5</v>
      </c>
      <c r="G2" s="28" t="s">
        <v>6</v>
      </c>
      <c r="H2" s="31" t="s">
        <v>7</v>
      </c>
      <c r="I2" s="31" t="s">
        <v>8</v>
      </c>
      <c r="J2" s="32" t="s">
        <v>9</v>
      </c>
      <c r="K2" s="28" t="s">
        <v>10</v>
      </c>
      <c r="L2" s="30" t="s">
        <v>11</v>
      </c>
    </row>
    <row r="3" spans="1:13" ht="17.25" customHeight="1">
      <c r="A3" s="1">
        <v>1</v>
      </c>
      <c r="B3" s="42" t="str">
        <f>апрель!B4</f>
        <v>Содержание общ.имущ.дома</v>
      </c>
      <c r="C3" s="8">
        <f>12699.81+63655.37</f>
        <v>76355.180000000008</v>
      </c>
      <c r="D3" s="18">
        <f>C3+апрель!D4</f>
        <v>375452.56</v>
      </c>
      <c r="E3" s="9">
        <f>16186.34+54366.38</f>
        <v>70552.72</v>
      </c>
      <c r="F3" s="18">
        <f>E3+апрель!F4</f>
        <v>336762.29000000004</v>
      </c>
      <c r="G3" s="18">
        <f>E3-C3</f>
        <v>-5802.4600000000064</v>
      </c>
      <c r="H3" s="19">
        <f>F3-D3</f>
        <v>-38690.26999999996</v>
      </c>
      <c r="I3" s="9"/>
      <c r="J3" s="19">
        <f>I3+апрель!J4</f>
        <v>0</v>
      </c>
      <c r="K3" s="8"/>
      <c r="L3" s="18">
        <f>K3+апрель!L4</f>
        <v>0</v>
      </c>
    </row>
    <row r="4" spans="1:13">
      <c r="A4" s="1">
        <f>A3+1</f>
        <v>2</v>
      </c>
      <c r="B4" s="42" t="str">
        <f>апрель!B5</f>
        <v>Отопление</v>
      </c>
      <c r="C4" s="8">
        <f>14450.22+72429.07</f>
        <v>86879.290000000008</v>
      </c>
      <c r="D4" s="18">
        <f>C4+апрель!D5</f>
        <v>1396205.97</v>
      </c>
      <c r="E4" s="9">
        <f>49329.72+190927.52</f>
        <v>240257.24</v>
      </c>
      <c r="F4" s="18">
        <f>E4+апрель!F5</f>
        <v>1368892.3099999998</v>
      </c>
      <c r="G4" s="18">
        <f t="shared" ref="G4:G22" si="0">E4-C4</f>
        <v>153377.94999999998</v>
      </c>
      <c r="H4" s="19">
        <f t="shared" ref="H4:H22" si="1">F4-D4</f>
        <v>-27313.660000000149</v>
      </c>
      <c r="I4" s="9"/>
      <c r="J4" s="19">
        <f>I4+апрель!J5</f>
        <v>0</v>
      </c>
      <c r="K4" s="8"/>
      <c r="L4" s="18">
        <f>K4+апрель!L5</f>
        <v>0</v>
      </c>
      <c r="M4" s="24">
        <f>L4-J4</f>
        <v>0</v>
      </c>
    </row>
    <row r="5" spans="1:13">
      <c r="A5" s="1">
        <f t="shared" ref="A5:A22" si="2">A4+1</f>
        <v>3</v>
      </c>
      <c r="B5" s="42" t="str">
        <f>апрель!B6</f>
        <v>Горячее водоснабжение</v>
      </c>
      <c r="C5" s="8">
        <f>29651.05+129546.63</f>
        <v>159197.68</v>
      </c>
      <c r="D5" s="18">
        <f>C5+апрель!D6</f>
        <v>786687.95</v>
      </c>
      <c r="E5" s="9">
        <f>34830.73+113692.39</f>
        <v>148523.12</v>
      </c>
      <c r="F5" s="18">
        <f>E5+апрель!F6</f>
        <v>704677.16</v>
      </c>
      <c r="G5" s="18">
        <f t="shared" si="0"/>
        <v>-10674.559999999998</v>
      </c>
      <c r="H5" s="19">
        <f t="shared" si="1"/>
        <v>-82010.789999999921</v>
      </c>
      <c r="I5" s="9"/>
      <c r="J5" s="19">
        <f>I5+апрель!J6</f>
        <v>0</v>
      </c>
      <c r="K5" s="8"/>
      <c r="L5" s="18">
        <f>K5+апрель!L6</f>
        <v>0</v>
      </c>
    </row>
    <row r="6" spans="1:13">
      <c r="A6" s="1">
        <f t="shared" si="2"/>
        <v>4</v>
      </c>
      <c r="B6" s="42" t="str">
        <f>апрель!B7</f>
        <v>Сод.и ремонт АППЗ</v>
      </c>
      <c r="C6" s="8">
        <f>469.6+2353.62</f>
        <v>2823.22</v>
      </c>
      <c r="D6" s="18">
        <f>C6+апрель!D7</f>
        <v>13920.63</v>
      </c>
      <c r="E6" s="9">
        <f>612.77+2012.6</f>
        <v>2625.37</v>
      </c>
      <c r="F6" s="18">
        <f>E6+апрель!F7</f>
        <v>12603.169999999998</v>
      </c>
      <c r="G6" s="18">
        <f t="shared" si="0"/>
        <v>-197.84999999999991</v>
      </c>
      <c r="H6" s="19">
        <f t="shared" si="1"/>
        <v>-1317.4600000000009</v>
      </c>
      <c r="I6" s="9"/>
      <c r="J6" s="19">
        <f>I6+апрель!J7</f>
        <v>0</v>
      </c>
      <c r="K6" s="8"/>
      <c r="L6" s="18">
        <f>K6+апрель!L7</f>
        <v>0</v>
      </c>
    </row>
    <row r="7" spans="1:13">
      <c r="A7" s="1">
        <f t="shared" si="2"/>
        <v>5</v>
      </c>
      <c r="B7" s="42" t="str">
        <f>апрель!B8</f>
        <v>Сод.и ремонт лифтов</v>
      </c>
      <c r="C7" s="54">
        <f>3148.28+15577.77</f>
        <v>18726.05</v>
      </c>
      <c r="D7" s="18">
        <f>C7+апрель!D8</f>
        <v>92252.11</v>
      </c>
      <c r="E7" s="9">
        <f>4285.91+13005.21</f>
        <v>17291.12</v>
      </c>
      <c r="F7" s="18">
        <f>E7+апрель!F8</f>
        <v>84051.93</v>
      </c>
      <c r="G7" s="18">
        <f t="shared" si="0"/>
        <v>-1434.9300000000003</v>
      </c>
      <c r="H7" s="19">
        <f t="shared" si="1"/>
        <v>-8200.1800000000076</v>
      </c>
      <c r="I7" s="9"/>
      <c r="J7" s="19">
        <f>I7+апрель!J8</f>
        <v>0</v>
      </c>
      <c r="K7" s="8"/>
      <c r="L7" s="18">
        <f>K7+апрель!L8</f>
        <v>0</v>
      </c>
    </row>
    <row r="8" spans="1:13">
      <c r="A8" s="1">
        <f t="shared" si="2"/>
        <v>6</v>
      </c>
      <c r="B8" s="42" t="str">
        <f>апрель!B9</f>
        <v>Очистка мусоропроводов</v>
      </c>
      <c r="C8" s="8">
        <f>1515.43+7276.49</f>
        <v>8791.92</v>
      </c>
      <c r="D8" s="18">
        <f>C8+апрель!D9</f>
        <v>43393.85</v>
      </c>
      <c r="E8" s="9">
        <f>1948.88+6316.27</f>
        <v>8265.1500000000015</v>
      </c>
      <c r="F8" s="18">
        <f>E8+апрель!F9</f>
        <v>39041.440000000002</v>
      </c>
      <c r="G8" s="18">
        <f t="shared" si="0"/>
        <v>-526.76999999999862</v>
      </c>
      <c r="H8" s="19">
        <f t="shared" si="1"/>
        <v>-4352.4099999999962</v>
      </c>
      <c r="I8" s="9"/>
      <c r="J8" s="19">
        <f>I8+апрель!J9</f>
        <v>0</v>
      </c>
      <c r="K8" s="8"/>
      <c r="L8" s="18">
        <f>K8+апрель!L9</f>
        <v>0</v>
      </c>
    </row>
    <row r="9" spans="1:13" ht="13.5" customHeight="1">
      <c r="A9" s="1">
        <f t="shared" si="2"/>
        <v>7</v>
      </c>
      <c r="B9" s="42" t="str">
        <f>апрель!B10</f>
        <v>Уборка и сан.очистка зем.уч.</v>
      </c>
      <c r="C9" s="8">
        <f>1953.02+9789.06</f>
        <v>11742.08</v>
      </c>
      <c r="D9" s="18">
        <f>C9+апрель!D10</f>
        <v>58002.850000000006</v>
      </c>
      <c r="E9" s="9">
        <f>2420.95+8351.06</f>
        <v>10772.009999999998</v>
      </c>
      <c r="F9" s="18">
        <f>E9+апрель!F10</f>
        <v>51776.299999999988</v>
      </c>
      <c r="G9" s="18">
        <f t="shared" si="0"/>
        <v>-970.07000000000153</v>
      </c>
      <c r="H9" s="19">
        <f t="shared" si="1"/>
        <v>-6226.5500000000175</v>
      </c>
      <c r="I9" s="9"/>
      <c r="J9" s="19">
        <f>I9+апрель!J10</f>
        <v>0</v>
      </c>
      <c r="K9" s="8"/>
      <c r="L9" s="18">
        <f>K9+апрель!L10</f>
        <v>0</v>
      </c>
    </row>
    <row r="10" spans="1:13">
      <c r="A10" s="1">
        <f t="shared" si="2"/>
        <v>8</v>
      </c>
      <c r="B10" s="42" t="str">
        <f>апрель!B11</f>
        <v>Холодная вода</v>
      </c>
      <c r="C10" s="8">
        <f>11616.63+51638.17</f>
        <v>63254.799999999996</v>
      </c>
      <c r="D10" s="18">
        <f>C10+апрель!D11</f>
        <v>307803.57999999996</v>
      </c>
      <c r="E10" s="9">
        <f>13485.28+44980.21</f>
        <v>58465.49</v>
      </c>
      <c r="F10" s="18">
        <f>E10+апрель!F11</f>
        <v>273036.13</v>
      </c>
      <c r="G10" s="18">
        <f t="shared" si="0"/>
        <v>-4789.3099999999977</v>
      </c>
      <c r="H10" s="19">
        <f t="shared" si="1"/>
        <v>-34767.449999999953</v>
      </c>
      <c r="I10" s="9"/>
      <c r="J10" s="19">
        <f>I10+апрель!J11</f>
        <v>0</v>
      </c>
      <c r="K10" s="8"/>
      <c r="L10" s="18">
        <f>K10+апрель!L11</f>
        <v>0</v>
      </c>
    </row>
    <row r="11" spans="1:13">
      <c r="A11" s="1">
        <f t="shared" si="2"/>
        <v>9</v>
      </c>
      <c r="B11" s="42" t="str">
        <f>апрель!B12</f>
        <v>Канализир.х.воды</v>
      </c>
      <c r="C11" s="8">
        <v>0</v>
      </c>
      <c r="D11" s="18">
        <f>C11+апрель!D12</f>
        <v>0</v>
      </c>
      <c r="E11" s="9">
        <v>210.25</v>
      </c>
      <c r="F11" s="18">
        <f>E11+апрель!F12</f>
        <v>1628.08</v>
      </c>
      <c r="G11" s="18">
        <f t="shared" si="0"/>
        <v>210.25</v>
      </c>
      <c r="H11" s="19">
        <f t="shared" si="1"/>
        <v>1628.08</v>
      </c>
      <c r="I11" s="9"/>
      <c r="J11" s="19">
        <f>I11+апрель!J12</f>
        <v>0</v>
      </c>
      <c r="K11" s="8"/>
      <c r="L11" s="18">
        <f>K11+апрель!L12</f>
        <v>0</v>
      </c>
    </row>
    <row r="12" spans="1:13">
      <c r="A12" s="1">
        <f t="shared" si="2"/>
        <v>10</v>
      </c>
      <c r="B12" s="42" t="str">
        <f>апрель!B13</f>
        <v>Канализир.г.воды</v>
      </c>
      <c r="C12" s="8">
        <v>0</v>
      </c>
      <c r="D12" s="18">
        <f>C12+апрель!D13</f>
        <v>0</v>
      </c>
      <c r="E12" s="9">
        <v>143.30000000000001</v>
      </c>
      <c r="F12" s="18">
        <f>E12+апрель!F13</f>
        <v>1109.73</v>
      </c>
      <c r="G12" s="18">
        <f t="shared" si="0"/>
        <v>143.30000000000001</v>
      </c>
      <c r="H12" s="19">
        <f t="shared" si="1"/>
        <v>1109.73</v>
      </c>
      <c r="I12" s="9"/>
      <c r="J12" s="19">
        <f>I12+апрель!J13</f>
        <v>0</v>
      </c>
      <c r="K12" s="8"/>
      <c r="L12" s="18">
        <f>K12+апрель!L13</f>
        <v>0</v>
      </c>
    </row>
    <row r="13" spans="1:13">
      <c r="A13" s="1">
        <f t="shared" si="2"/>
        <v>11</v>
      </c>
      <c r="B13" s="42" t="str">
        <f>апрель!B14</f>
        <v>Тек.рем.общ.имущ.дома</v>
      </c>
      <c r="C13" s="8">
        <f>6627.38+33218.4</f>
        <v>39845.78</v>
      </c>
      <c r="D13" s="18">
        <f>C13+апрель!D14</f>
        <v>196583.56999999998</v>
      </c>
      <c r="E13" s="9">
        <f>8495.01+28381.19</f>
        <v>36876.199999999997</v>
      </c>
      <c r="F13" s="18">
        <f>E13+апрель!F14</f>
        <v>178211.96000000002</v>
      </c>
      <c r="G13" s="18">
        <f t="shared" si="0"/>
        <v>-2969.5800000000017</v>
      </c>
      <c r="H13" s="19">
        <f t="shared" si="1"/>
        <v>-18371.609999999957</v>
      </c>
      <c r="I13" s="9"/>
      <c r="J13" s="19">
        <f>I13+апрель!J14</f>
        <v>0</v>
      </c>
      <c r="K13" s="8"/>
      <c r="L13" s="18">
        <f>K13+апрель!L14</f>
        <v>0</v>
      </c>
    </row>
    <row r="14" spans="1:13" ht="14.25" customHeight="1">
      <c r="A14" s="1">
        <f t="shared" si="2"/>
        <v>12</v>
      </c>
      <c r="B14" s="42" t="str">
        <f>апрель!B15</f>
        <v>Управление многокв.домом</v>
      </c>
      <c r="C14" s="8">
        <f>2742.76+13747.42</f>
        <v>16490.18</v>
      </c>
      <c r="D14" s="18">
        <f>C14+апрель!D15</f>
        <v>81233.579999999987</v>
      </c>
      <c r="E14" s="9">
        <f>3448.77+11726.97</f>
        <v>15175.74</v>
      </c>
      <c r="F14" s="18">
        <f>E14+апрель!F15</f>
        <v>71767.55</v>
      </c>
      <c r="G14" s="18">
        <f t="shared" si="0"/>
        <v>-1314.4400000000005</v>
      </c>
      <c r="H14" s="19">
        <f t="shared" si="1"/>
        <v>-9466.0299999999843</v>
      </c>
      <c r="I14" s="9"/>
      <c r="J14" s="19">
        <f>I14+апрель!J15</f>
        <v>0</v>
      </c>
      <c r="K14" s="8"/>
      <c r="L14" s="18">
        <f>K14+апрель!L15</f>
        <v>0</v>
      </c>
    </row>
    <row r="15" spans="1:13">
      <c r="A15" s="1">
        <f t="shared" si="2"/>
        <v>13</v>
      </c>
      <c r="B15" s="42" t="str">
        <f>апрель!B16</f>
        <v>Водоотведение(кв)</v>
      </c>
      <c r="C15" s="8">
        <f>19856.69+87639.56</f>
        <v>107496.25</v>
      </c>
      <c r="D15" s="18">
        <f>C15+апрель!D16</f>
        <v>526537.79</v>
      </c>
      <c r="E15" s="9">
        <f>22687.96+76858.52</f>
        <v>99546.48000000001</v>
      </c>
      <c r="F15" s="18">
        <f>E15+апрель!F16</f>
        <v>466836.56999999995</v>
      </c>
      <c r="G15" s="18">
        <f t="shared" si="0"/>
        <v>-7949.7699999999895</v>
      </c>
      <c r="H15" s="19">
        <f t="shared" si="1"/>
        <v>-59701.220000000088</v>
      </c>
      <c r="I15" s="9"/>
      <c r="J15" s="19">
        <f>I15+апрель!J16</f>
        <v>0</v>
      </c>
      <c r="K15" s="8"/>
      <c r="L15" s="18">
        <f>K15+апрель!L16</f>
        <v>0</v>
      </c>
    </row>
    <row r="16" spans="1:13" ht="15.75" customHeight="1">
      <c r="A16" s="1">
        <f t="shared" si="2"/>
        <v>14</v>
      </c>
      <c r="B16" s="42" t="str">
        <f>апрель!B17</f>
        <v>Электроснабж.на общед.нужды</v>
      </c>
      <c r="C16" s="8">
        <f>935.14+4687.09</f>
        <v>5622.2300000000005</v>
      </c>
      <c r="D16" s="18">
        <f>C16+апрель!D17</f>
        <v>36373.21</v>
      </c>
      <c r="E16" s="9">
        <f>1526.66+5205.64</f>
        <v>6732.3</v>
      </c>
      <c r="F16" s="18">
        <f>E16+апрель!F17</f>
        <v>33479.840000000004</v>
      </c>
      <c r="G16" s="18">
        <f t="shared" si="0"/>
        <v>1110.0699999999997</v>
      </c>
      <c r="H16" s="19">
        <f t="shared" si="1"/>
        <v>-2893.3699999999953</v>
      </c>
      <c r="I16" s="9"/>
      <c r="J16" s="19">
        <f>I16+апрель!J17</f>
        <v>0</v>
      </c>
      <c r="K16" s="8"/>
      <c r="L16" s="18">
        <f>K16+апрель!L17</f>
        <v>0</v>
      </c>
    </row>
    <row r="17" spans="1:12">
      <c r="A17" s="1">
        <f t="shared" si="2"/>
        <v>15</v>
      </c>
      <c r="B17" s="42" t="str">
        <f>апрель!B18</f>
        <v>Эксплуатация общедом.ПУ</v>
      </c>
      <c r="C17" s="8">
        <f>704.34+3530.54</f>
        <v>4234.88</v>
      </c>
      <c r="D17" s="18">
        <f>C16+апрель!D18</f>
        <v>22300.2</v>
      </c>
      <c r="E17" s="9">
        <f>892.46+3016.59</f>
        <v>3909.05</v>
      </c>
      <c r="F17" s="18">
        <f>E16+апрель!F18</f>
        <v>22104.01</v>
      </c>
      <c r="G17" s="18">
        <f>E16-C16</f>
        <v>1110.0699999999997</v>
      </c>
      <c r="H17" s="19">
        <f t="shared" si="1"/>
        <v>-196.19000000000233</v>
      </c>
      <c r="I17" s="9"/>
      <c r="J17" s="19">
        <f>I17+апрель!J18</f>
        <v>0</v>
      </c>
      <c r="K17" s="8"/>
      <c r="L17" s="18">
        <f>K17+апрель!L18</f>
        <v>0</v>
      </c>
    </row>
    <row r="18" spans="1:12" ht="15" customHeight="1">
      <c r="A18" s="1">
        <f t="shared" si="2"/>
        <v>16</v>
      </c>
      <c r="B18" s="42" t="str">
        <f>апрель!B19</f>
        <v>Водоотведение(о/д нужды)</v>
      </c>
      <c r="C18" s="8">
        <v>0</v>
      </c>
      <c r="D18" s="18">
        <f>C18+апрель!D19</f>
        <v>0</v>
      </c>
      <c r="E18" s="9">
        <v>0</v>
      </c>
      <c r="F18" s="18">
        <f>E18+апрель!F19</f>
        <v>0</v>
      </c>
      <c r="G18" s="18">
        <f t="shared" si="0"/>
        <v>0</v>
      </c>
      <c r="H18" s="19">
        <f t="shared" si="1"/>
        <v>0</v>
      </c>
      <c r="I18" s="9"/>
      <c r="J18" s="19">
        <f>I18+апрель!J19</f>
        <v>0</v>
      </c>
      <c r="K18" s="8"/>
      <c r="L18" s="18">
        <f>K18+апрель!L19</f>
        <v>0</v>
      </c>
    </row>
    <row r="19" spans="1:12">
      <c r="A19" s="1">
        <f t="shared" si="2"/>
        <v>17</v>
      </c>
      <c r="B19" s="42" t="str">
        <f>апрель!B20</f>
        <v>Отопление (о/д нужды)</v>
      </c>
      <c r="C19" s="8">
        <v>0</v>
      </c>
      <c r="D19" s="18">
        <f>C19+апрель!D20</f>
        <v>0</v>
      </c>
      <c r="E19" s="9">
        <v>0</v>
      </c>
      <c r="F19" s="18">
        <f>E19+апрель!F20</f>
        <v>361.06</v>
      </c>
      <c r="G19" s="18">
        <f t="shared" si="0"/>
        <v>0</v>
      </c>
      <c r="H19" s="19">
        <f t="shared" si="1"/>
        <v>361.06</v>
      </c>
      <c r="I19" s="9"/>
      <c r="J19" s="19">
        <f>I19+апрель!J20</f>
        <v>0</v>
      </c>
      <c r="K19" s="8"/>
      <c r="L19" s="18">
        <f>K19+апрель!L20</f>
        <v>0</v>
      </c>
    </row>
    <row r="20" spans="1:12" ht="14.25" customHeight="1">
      <c r="A20" s="1">
        <f t="shared" si="2"/>
        <v>18</v>
      </c>
      <c r="B20" s="42" t="str">
        <f>апрель!B21</f>
        <v>Гор.водоснабж.(о/д нужды)</v>
      </c>
      <c r="C20" s="8">
        <f>798.74+4010.85+525.76</f>
        <v>5335.35</v>
      </c>
      <c r="D20" s="18">
        <f>C20+апрель!D21</f>
        <v>24884.57</v>
      </c>
      <c r="E20" s="9">
        <f>1108.56+3425.85+715.39</f>
        <v>5249.8</v>
      </c>
      <c r="F20" s="18">
        <f>E20+апрель!F21</f>
        <v>23010.149999999998</v>
      </c>
      <c r="G20" s="18">
        <f t="shared" si="0"/>
        <v>-85.550000000000182</v>
      </c>
      <c r="H20" s="19">
        <f t="shared" si="1"/>
        <v>-1874.4200000000019</v>
      </c>
      <c r="I20" s="9"/>
      <c r="J20" s="19">
        <f>I20+апрель!J21</f>
        <v>0</v>
      </c>
      <c r="K20" s="9"/>
      <c r="L20" s="18">
        <f>K20+апрель!L21</f>
        <v>0</v>
      </c>
    </row>
    <row r="21" spans="1:12">
      <c r="A21" s="1">
        <f t="shared" si="2"/>
        <v>19</v>
      </c>
      <c r="B21" s="42" t="str">
        <f>апрель!B22</f>
        <v>Холодн водосн о/д нужды</v>
      </c>
      <c r="C21" s="8">
        <f>358.64+1800.03</f>
        <v>2158.67</v>
      </c>
      <c r="D21" s="18">
        <f>C21+апрель!D22</f>
        <v>10729.550000000001</v>
      </c>
      <c r="E21" s="9">
        <f>479.05+1567.17</f>
        <v>2046.22</v>
      </c>
      <c r="F21" s="18">
        <f>E21+апрель!F22</f>
        <v>9740.6299999999992</v>
      </c>
      <c r="G21" s="18">
        <f t="shared" si="0"/>
        <v>-112.45000000000005</v>
      </c>
      <c r="H21" s="19">
        <f t="shared" si="1"/>
        <v>-988.92000000000189</v>
      </c>
      <c r="I21" s="9"/>
      <c r="J21" s="19">
        <f>I21+апрель!J22</f>
        <v>0</v>
      </c>
      <c r="K21" s="8"/>
      <c r="L21" s="18">
        <f>K21+апрель!L22</f>
        <v>0</v>
      </c>
    </row>
    <row r="22" spans="1:12">
      <c r="A22" s="1">
        <f t="shared" si="2"/>
        <v>20</v>
      </c>
      <c r="B22" s="42">
        <f>апрель!B23</f>
        <v>0</v>
      </c>
      <c r="C22" s="8">
        <v>0</v>
      </c>
      <c r="D22" s="18">
        <f>C22+апрель!D23</f>
        <v>0</v>
      </c>
      <c r="E22" s="9">
        <v>0</v>
      </c>
      <c r="F22" s="18">
        <f>E22+апрель!F23</f>
        <v>0</v>
      </c>
      <c r="G22" s="18">
        <f t="shared" si="0"/>
        <v>0</v>
      </c>
      <c r="H22" s="19">
        <f t="shared" si="1"/>
        <v>0</v>
      </c>
      <c r="I22" s="9"/>
      <c r="J22" s="19">
        <f>I22+апрель!J23</f>
        <v>0</v>
      </c>
      <c r="K22" s="8"/>
      <c r="L22" s="18">
        <f>K22+апрель!L23</f>
        <v>0</v>
      </c>
    </row>
    <row r="23" spans="1:12">
      <c r="A23" s="1"/>
      <c r="B23" s="25" t="s">
        <v>12</v>
      </c>
      <c r="C23" s="22">
        <f t="shared" ref="C23:L23" si="3">SUM(C3:C22)</f>
        <v>608953.55999999994</v>
      </c>
      <c r="D23" s="18">
        <f t="shared" si="3"/>
        <v>3972361.9699999997</v>
      </c>
      <c r="E23" s="23">
        <f t="shared" si="3"/>
        <v>726641.56</v>
      </c>
      <c r="F23" s="18">
        <f t="shared" si="3"/>
        <v>3679090.3099999987</v>
      </c>
      <c r="G23" s="18">
        <f t="shared" si="3"/>
        <v>119123.90000000002</v>
      </c>
      <c r="H23" s="19">
        <f t="shared" si="3"/>
        <v>-293271.66000000003</v>
      </c>
      <c r="I23" s="19">
        <f t="shared" si="3"/>
        <v>0</v>
      </c>
      <c r="J23" s="19">
        <f t="shared" si="3"/>
        <v>0</v>
      </c>
      <c r="K23" s="18">
        <f t="shared" si="3"/>
        <v>0</v>
      </c>
      <c r="L23" s="18">
        <f t="shared" si="3"/>
        <v>0</v>
      </c>
    </row>
    <row r="24" spans="1:12" ht="16.5" customHeight="1"/>
    <row r="25" spans="1:12" ht="16.5" customHeight="1"/>
    <row r="26" spans="1:12" ht="16.5" customHeight="1">
      <c r="B26" s="38" t="s">
        <v>34</v>
      </c>
      <c r="C26" s="9">
        <f>C3+C6+C7+C8+C9+C13+C14+C16</f>
        <v>180396.64</v>
      </c>
      <c r="D26" s="9">
        <f t="shared" ref="D26:H26" si="4">D3+D6+D7+D8+D9+D13+D14+D17</f>
        <v>883139.34999999986</v>
      </c>
      <c r="E26" s="9">
        <f>E3+E6+E7+E8+E9+E13+E14+E16</f>
        <v>168290.60999999996</v>
      </c>
      <c r="F26" s="9">
        <f t="shared" si="4"/>
        <v>796318.65000000014</v>
      </c>
      <c r="G26" s="9">
        <f t="shared" si="4"/>
        <v>-12106.03000000001</v>
      </c>
      <c r="H26" s="9">
        <f t="shared" si="4"/>
        <v>-86820.699999999924</v>
      </c>
    </row>
    <row r="27" spans="1:12" ht="16.5" customHeight="1"/>
    <row r="28" spans="1:12" ht="16.5" customHeight="1">
      <c r="B28" s="1" t="s">
        <v>35</v>
      </c>
      <c r="C28" s="9">
        <f>C10+C11+C12+C15+C18+C21</f>
        <v>172909.72</v>
      </c>
      <c r="D28" s="9">
        <f t="shared" ref="D28:J28" si="5">D10+D11+D12+D15+D18+D21</f>
        <v>845070.92</v>
      </c>
      <c r="E28" s="9">
        <f t="shared" si="5"/>
        <v>160411.74000000002</v>
      </c>
      <c r="F28" s="9">
        <f t="shared" si="5"/>
        <v>752351.14</v>
      </c>
      <c r="G28" s="9">
        <f t="shared" si="5"/>
        <v>-12497.979999999989</v>
      </c>
      <c r="H28" s="9">
        <f t="shared" si="5"/>
        <v>-92719.780000000042</v>
      </c>
      <c r="I28" s="9">
        <f t="shared" si="5"/>
        <v>0</v>
      </c>
      <c r="J28" s="9">
        <f t="shared" si="5"/>
        <v>0</v>
      </c>
    </row>
    <row r="29" spans="1:12">
      <c r="B29" s="1" t="s">
        <v>36</v>
      </c>
      <c r="C29" s="9">
        <f>C16</f>
        <v>5622.2300000000005</v>
      </c>
      <c r="D29" s="9">
        <f t="shared" ref="D29:J29" si="6">D16</f>
        <v>36373.21</v>
      </c>
      <c r="E29" s="9">
        <f t="shared" si="6"/>
        <v>6732.3</v>
      </c>
      <c r="F29" s="9">
        <f t="shared" si="6"/>
        <v>33479.840000000004</v>
      </c>
      <c r="G29" s="9">
        <f t="shared" si="6"/>
        <v>1110.0699999999997</v>
      </c>
      <c r="H29" s="9">
        <f t="shared" si="6"/>
        <v>-2893.3699999999953</v>
      </c>
      <c r="I29" s="9">
        <f t="shared" si="6"/>
        <v>0</v>
      </c>
      <c r="J29" s="9">
        <f t="shared" si="6"/>
        <v>0</v>
      </c>
    </row>
    <row r="30" spans="1:12">
      <c r="B30" s="1" t="s">
        <v>37</v>
      </c>
      <c r="C30" s="9">
        <f>C4+C5+C19+C20</f>
        <v>251412.32</v>
      </c>
      <c r="D30" s="9">
        <f t="shared" ref="D30:J30" si="7">D4+D5+D19+D20</f>
        <v>2207778.4899999998</v>
      </c>
      <c r="E30" s="9">
        <f t="shared" si="7"/>
        <v>394030.16</v>
      </c>
      <c r="F30" s="9">
        <f t="shared" si="7"/>
        <v>2096940.6799999997</v>
      </c>
      <c r="G30" s="9">
        <f t="shared" si="7"/>
        <v>142617.84</v>
      </c>
      <c r="H30" s="9">
        <f t="shared" si="7"/>
        <v>-110837.81000000007</v>
      </c>
      <c r="I30" s="9">
        <f t="shared" si="7"/>
        <v>0</v>
      </c>
      <c r="J30" s="9">
        <f t="shared" si="7"/>
        <v>0</v>
      </c>
    </row>
    <row r="33" spans="3:5">
      <c r="C33">
        <f>107527.73+501425.83</f>
        <v>608953.56000000006</v>
      </c>
      <c r="E33">
        <f>162092.6+564548.96</f>
        <v>726641.55999999994</v>
      </c>
    </row>
    <row r="35" spans="3:5">
      <c r="E35" s="24">
        <f>E23-E33</f>
        <v>0</v>
      </c>
    </row>
  </sheetData>
  <phoneticPr fontId="0" type="noConversion"/>
  <pageMargins left="0" right="0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8"/>
  <sheetViews>
    <sheetView workbookViewId="0">
      <selection activeCell="G37" sqref="G37"/>
    </sheetView>
  </sheetViews>
  <sheetFormatPr defaultRowHeight="12.75"/>
  <cols>
    <col min="1" max="1" width="4.140625" style="10" customWidth="1"/>
    <col min="2" max="2" width="28.28515625" customWidth="1"/>
    <col min="3" max="3" width="13.42578125" customWidth="1"/>
    <col min="4" max="4" width="12.7109375" customWidth="1"/>
    <col min="5" max="5" width="12.5703125" customWidth="1"/>
    <col min="6" max="6" width="12.28515625" customWidth="1"/>
    <col min="7" max="7" width="11.42578125" customWidth="1"/>
    <col min="8" max="8" width="12.140625" customWidth="1"/>
    <col min="9" max="9" width="11.42578125" customWidth="1"/>
    <col min="10" max="10" width="11" customWidth="1"/>
    <col min="11" max="11" width="10.85546875" customWidth="1"/>
    <col min="12" max="12" width="11" customWidth="1"/>
    <col min="13" max="13" width="10.7109375" bestFit="1" customWidth="1"/>
  </cols>
  <sheetData>
    <row r="1" spans="1:13" ht="37.5" customHeight="1">
      <c r="B1" s="11" t="s">
        <v>18</v>
      </c>
      <c r="D1" s="11" t="s">
        <v>45</v>
      </c>
      <c r="E1" s="11"/>
      <c r="F1" s="12"/>
      <c r="G1" s="12"/>
      <c r="I1" s="13"/>
    </row>
    <row r="2" spans="1:13" s="33" customFormat="1" ht="38.25">
      <c r="A2" s="27" t="s">
        <v>0</v>
      </c>
      <c r="B2" s="28" t="s">
        <v>1</v>
      </c>
      <c r="C2" s="29" t="s">
        <v>2</v>
      </c>
      <c r="D2" s="30" t="s">
        <v>3</v>
      </c>
      <c r="E2" s="31" t="s">
        <v>4</v>
      </c>
      <c r="F2" s="30" t="s">
        <v>5</v>
      </c>
      <c r="G2" s="30" t="s">
        <v>6</v>
      </c>
      <c r="H2" s="32" t="s">
        <v>7</v>
      </c>
      <c r="I2" s="31" t="s">
        <v>8</v>
      </c>
      <c r="J2" s="32" t="s">
        <v>9</v>
      </c>
      <c r="K2" s="28" t="s">
        <v>10</v>
      </c>
      <c r="L2" s="30" t="s">
        <v>11</v>
      </c>
    </row>
    <row r="3" spans="1:13">
      <c r="A3" s="1">
        <v>1</v>
      </c>
      <c r="B3" s="34" t="str">
        <f>май!B3</f>
        <v>Содержание общ.имущ.дома</v>
      </c>
      <c r="C3" s="8">
        <f>12699.81+63655.37</f>
        <v>76355.180000000008</v>
      </c>
      <c r="D3" s="18">
        <f>C3+май!D3</f>
        <v>451807.74</v>
      </c>
      <c r="E3" s="9">
        <f>15379.36+62043.03</f>
        <v>77422.39</v>
      </c>
      <c r="F3" s="18">
        <f>E3+май!F3</f>
        <v>414184.68000000005</v>
      </c>
      <c r="G3" s="18">
        <f>E3-C3</f>
        <v>1067.2099999999919</v>
      </c>
      <c r="H3" s="19">
        <f>F3-D3</f>
        <v>-37623.059999999939</v>
      </c>
      <c r="I3" s="9"/>
      <c r="J3" s="19">
        <f>I3+май!J3</f>
        <v>0</v>
      </c>
      <c r="K3" s="8"/>
      <c r="L3" s="18">
        <f>K3+май!L3</f>
        <v>0</v>
      </c>
    </row>
    <row r="4" spans="1:13">
      <c r="A4" s="1">
        <f>A3+1</f>
        <v>2</v>
      </c>
      <c r="B4" s="34" t="str">
        <f>май!B4</f>
        <v>Отопление</v>
      </c>
      <c r="C4" s="8">
        <f>0+0</f>
        <v>0</v>
      </c>
      <c r="D4" s="18">
        <f>C4+май!D4</f>
        <v>1396205.97</v>
      </c>
      <c r="E4" s="9">
        <f>32388.38+130375.89</f>
        <v>162764.26999999999</v>
      </c>
      <c r="F4" s="18">
        <f>E4+май!F4</f>
        <v>1531656.5799999998</v>
      </c>
      <c r="G4" s="18">
        <f t="shared" ref="G4:H22" si="0">E4-C4</f>
        <v>162764.26999999999</v>
      </c>
      <c r="H4" s="19">
        <f t="shared" si="0"/>
        <v>135450.60999999987</v>
      </c>
      <c r="I4" s="9"/>
      <c r="J4" s="19">
        <f>I4+май!J4</f>
        <v>0</v>
      </c>
      <c r="K4" s="8"/>
      <c r="L4" s="18">
        <f>K4+май!L4</f>
        <v>0</v>
      </c>
      <c r="M4" s="24"/>
    </row>
    <row r="5" spans="1:13">
      <c r="A5" s="1">
        <f t="shared" ref="A5:A22" si="1">A4+1</f>
        <v>3</v>
      </c>
      <c r="B5" s="42" t="str">
        <f>май!B5</f>
        <v>Горячее водоснабжение</v>
      </c>
      <c r="C5" s="8">
        <f>29427.45+134858.61</f>
        <v>164286.06</v>
      </c>
      <c r="D5" s="18">
        <f>C5+май!D5</f>
        <v>950974.01</v>
      </c>
      <c r="E5" s="9">
        <f>40816.57+119646.59</f>
        <v>160463.16</v>
      </c>
      <c r="F5" s="18">
        <f>E5+май!F5</f>
        <v>865140.32000000007</v>
      </c>
      <c r="G5" s="18">
        <f t="shared" si="0"/>
        <v>-3822.8999999999942</v>
      </c>
      <c r="H5" s="19">
        <f t="shared" si="0"/>
        <v>-85833.689999999944</v>
      </c>
      <c r="I5" s="9"/>
      <c r="J5" s="19">
        <f>I5+май!J5</f>
        <v>0</v>
      </c>
      <c r="K5" s="8"/>
      <c r="L5" s="18">
        <f>K5+май!L5</f>
        <v>0</v>
      </c>
    </row>
    <row r="6" spans="1:13">
      <c r="A6" s="1">
        <f t="shared" si="1"/>
        <v>4</v>
      </c>
      <c r="B6" s="34" t="str">
        <f>май!B6</f>
        <v>Сод.и ремонт АППЗ</v>
      </c>
      <c r="C6" s="8">
        <f>469.6+2353.62</f>
        <v>2823.22</v>
      </c>
      <c r="D6" s="18">
        <f>C6+май!D6</f>
        <v>16743.849999999999</v>
      </c>
      <c r="E6" s="9">
        <f>576.26+2295</f>
        <v>2871.26</v>
      </c>
      <c r="F6" s="18">
        <f>E6+май!F6</f>
        <v>15474.429999999998</v>
      </c>
      <c r="G6" s="18">
        <f t="shared" si="0"/>
        <v>48.040000000000418</v>
      </c>
      <c r="H6" s="19">
        <f t="shared" si="0"/>
        <v>-1269.42</v>
      </c>
      <c r="I6" s="9"/>
      <c r="J6" s="19">
        <f>I6+май!J6</f>
        <v>0</v>
      </c>
      <c r="K6" s="8"/>
      <c r="L6" s="18">
        <f>K6+май!L6</f>
        <v>0</v>
      </c>
    </row>
    <row r="7" spans="1:13">
      <c r="A7" s="1">
        <f t="shared" si="1"/>
        <v>5</v>
      </c>
      <c r="B7" s="34" t="str">
        <f>май!B7</f>
        <v>Сод.и ремонт лифтов</v>
      </c>
      <c r="C7" s="8">
        <f>3148.28+15577.77</f>
        <v>18726.05</v>
      </c>
      <c r="D7" s="18">
        <f>C7+май!D7</f>
        <v>110978.16</v>
      </c>
      <c r="E7" s="9">
        <f>4041.65+15271.17</f>
        <v>19312.82</v>
      </c>
      <c r="F7" s="18">
        <f>E7+май!F7</f>
        <v>103364.75</v>
      </c>
      <c r="G7" s="18">
        <f t="shared" si="0"/>
        <v>586.77000000000044</v>
      </c>
      <c r="H7" s="19">
        <f t="shared" si="0"/>
        <v>-7613.4100000000035</v>
      </c>
      <c r="I7" s="9"/>
      <c r="J7" s="19">
        <f>I7+май!J7</f>
        <v>0</v>
      </c>
      <c r="K7" s="8"/>
      <c r="L7" s="18">
        <f>K7+май!L7</f>
        <v>0</v>
      </c>
    </row>
    <row r="8" spans="1:13">
      <c r="A8" s="1">
        <f t="shared" si="1"/>
        <v>6</v>
      </c>
      <c r="B8" s="34" t="str">
        <f>май!B8</f>
        <v>Очистка мусоропроводов</v>
      </c>
      <c r="C8" s="8">
        <f>1515.43+7276.49</f>
        <v>8791.92</v>
      </c>
      <c r="D8" s="18">
        <f>C8+май!D8</f>
        <v>52185.77</v>
      </c>
      <c r="E8" s="9">
        <f>1850.58+7000.73</f>
        <v>8851.31</v>
      </c>
      <c r="F8" s="18">
        <f>E8+май!F8</f>
        <v>47892.75</v>
      </c>
      <c r="G8" s="18">
        <f t="shared" si="0"/>
        <v>59.389999999999418</v>
      </c>
      <c r="H8" s="19">
        <f t="shared" si="0"/>
        <v>-4293.0199999999968</v>
      </c>
      <c r="I8" s="9"/>
      <c r="J8" s="19">
        <f>I8+май!J8</f>
        <v>0</v>
      </c>
      <c r="K8" s="8"/>
      <c r="L8" s="18">
        <f>K8+май!L8</f>
        <v>0</v>
      </c>
    </row>
    <row r="9" spans="1:13" ht="14.25" customHeight="1">
      <c r="A9" s="1">
        <f t="shared" si="1"/>
        <v>7</v>
      </c>
      <c r="B9" s="34" t="str">
        <f>май!B9</f>
        <v>Уборка и сан.очистка зем.уч.</v>
      </c>
      <c r="C9" s="8">
        <f>1953.02+9789.06</f>
        <v>11742.08</v>
      </c>
      <c r="D9" s="18">
        <f>C9+май!D9</f>
        <v>69744.930000000008</v>
      </c>
      <c r="E9" s="9">
        <f>2352.15+9538.88</f>
        <v>11891.029999999999</v>
      </c>
      <c r="F9" s="18">
        <f>E9+май!F9</f>
        <v>63667.329999999987</v>
      </c>
      <c r="G9" s="18">
        <f t="shared" si="0"/>
        <v>148.94999999999891</v>
      </c>
      <c r="H9" s="19">
        <f t="shared" si="0"/>
        <v>-6077.6000000000204</v>
      </c>
      <c r="I9" s="9"/>
      <c r="J9" s="19">
        <f>I9+май!J9</f>
        <v>0</v>
      </c>
      <c r="K9" s="8"/>
      <c r="L9" s="18">
        <f>K9+май!L9</f>
        <v>0</v>
      </c>
    </row>
    <row r="10" spans="1:13">
      <c r="A10" s="1">
        <f t="shared" si="1"/>
        <v>8</v>
      </c>
      <c r="B10" s="34" t="str">
        <f>май!B10</f>
        <v>Холодная вода</v>
      </c>
      <c r="C10" s="8">
        <f>11585.56+50496.73</f>
        <v>62082.29</v>
      </c>
      <c r="D10" s="18">
        <f>C10+май!D10</f>
        <v>369885.86999999994</v>
      </c>
      <c r="E10" s="9">
        <f>15800.43+47845.25</f>
        <v>63645.68</v>
      </c>
      <c r="F10" s="18">
        <f>E10+май!F10</f>
        <v>336681.81</v>
      </c>
      <c r="G10" s="18">
        <f t="shared" si="0"/>
        <v>1563.3899999999994</v>
      </c>
      <c r="H10" s="19">
        <f t="shared" si="0"/>
        <v>-33204.059999999939</v>
      </c>
      <c r="I10" s="9"/>
      <c r="J10" s="19">
        <f>I10+май!J10</f>
        <v>0</v>
      </c>
      <c r="K10" s="8"/>
      <c r="L10" s="18">
        <f>K10+май!L10</f>
        <v>0</v>
      </c>
    </row>
    <row r="11" spans="1:13">
      <c r="A11" s="1">
        <f t="shared" si="1"/>
        <v>9</v>
      </c>
      <c r="B11" s="34" t="str">
        <f>май!B11</f>
        <v>Канализир.х.воды</v>
      </c>
      <c r="C11" s="8">
        <v>0</v>
      </c>
      <c r="D11" s="18">
        <f>C11+май!D11</f>
        <v>0</v>
      </c>
      <c r="E11" s="9">
        <f>0+18.07</f>
        <v>18.07</v>
      </c>
      <c r="F11" s="18">
        <f>E11+май!F11</f>
        <v>1646.1499999999999</v>
      </c>
      <c r="G11" s="18">
        <f t="shared" si="0"/>
        <v>18.07</v>
      </c>
      <c r="H11" s="19">
        <f t="shared" si="0"/>
        <v>1646.1499999999999</v>
      </c>
      <c r="I11" s="9"/>
      <c r="J11" s="19">
        <f>I11+май!J11</f>
        <v>0</v>
      </c>
      <c r="K11" s="8"/>
      <c r="L11" s="18">
        <f>K11+май!L11</f>
        <v>0</v>
      </c>
    </row>
    <row r="12" spans="1:13">
      <c r="A12" s="1">
        <f t="shared" si="1"/>
        <v>10</v>
      </c>
      <c r="B12" s="34" t="str">
        <f>май!B12</f>
        <v>Канализир.г.воды</v>
      </c>
      <c r="C12" s="8">
        <v>0</v>
      </c>
      <c r="D12" s="18">
        <f>C12+май!D12</f>
        <v>0</v>
      </c>
      <c r="E12" s="9">
        <f>0+12.32</f>
        <v>12.32</v>
      </c>
      <c r="F12" s="18">
        <f>E12+май!F12</f>
        <v>1122.05</v>
      </c>
      <c r="G12" s="18">
        <f t="shared" si="0"/>
        <v>12.32</v>
      </c>
      <c r="H12" s="19">
        <f t="shared" si="0"/>
        <v>1122.05</v>
      </c>
      <c r="I12" s="9"/>
      <c r="J12" s="19">
        <f>I12+май!J12</f>
        <v>0</v>
      </c>
      <c r="K12" s="8"/>
      <c r="L12" s="18">
        <f>K12+май!L12</f>
        <v>0</v>
      </c>
    </row>
    <row r="13" spans="1:13">
      <c r="A13" s="1">
        <f t="shared" si="1"/>
        <v>11</v>
      </c>
      <c r="B13" s="34" t="str">
        <f>май!B13</f>
        <v>Тек.рем.общ.имущ.дома</v>
      </c>
      <c r="C13" s="8">
        <f>6627.38+33218.4</f>
        <v>39845.78</v>
      </c>
      <c r="D13" s="18">
        <f>C13+май!D13</f>
        <v>236429.34999999998</v>
      </c>
      <c r="E13" s="9">
        <f>8051.98+32382.7</f>
        <v>40434.68</v>
      </c>
      <c r="F13" s="18">
        <f>E13+май!F13</f>
        <v>218646.64</v>
      </c>
      <c r="G13" s="18">
        <f t="shared" si="0"/>
        <v>588.90000000000146</v>
      </c>
      <c r="H13" s="19">
        <f t="shared" si="0"/>
        <v>-17782.709999999963</v>
      </c>
      <c r="I13" s="9"/>
      <c r="J13" s="19">
        <f>I13+май!J13</f>
        <v>0</v>
      </c>
      <c r="K13" s="8"/>
      <c r="L13" s="18">
        <f>K13+май!L13</f>
        <v>0</v>
      </c>
    </row>
    <row r="14" spans="1:13" ht="15" customHeight="1">
      <c r="A14" s="1">
        <f t="shared" si="1"/>
        <v>12</v>
      </c>
      <c r="B14" s="34" t="str">
        <f>май!B14</f>
        <v>Управление многокв.домом</v>
      </c>
      <c r="C14" s="8">
        <f>2742.76+13747.42</f>
        <v>16490.18</v>
      </c>
      <c r="D14" s="18">
        <f>C14+май!D14</f>
        <v>97723.75999999998</v>
      </c>
      <c r="E14" s="9">
        <f>3251.81+13393.38</f>
        <v>16645.189999999999</v>
      </c>
      <c r="F14" s="18">
        <f>E14+май!F14</f>
        <v>88412.74</v>
      </c>
      <c r="G14" s="18">
        <f t="shared" si="0"/>
        <v>155.0099999999984</v>
      </c>
      <c r="H14" s="19">
        <f t="shared" si="0"/>
        <v>-9311.019999999975</v>
      </c>
      <c r="I14" s="9"/>
      <c r="J14" s="19">
        <f>I14+май!J14</f>
        <v>0</v>
      </c>
      <c r="K14" s="8"/>
      <c r="L14" s="18">
        <f>K14+май!L14</f>
        <v>0</v>
      </c>
    </row>
    <row r="15" spans="1:13">
      <c r="A15" s="1">
        <f t="shared" si="1"/>
        <v>13</v>
      </c>
      <c r="B15" s="34" t="str">
        <f>май!B15</f>
        <v>Водоотведение(кв)</v>
      </c>
      <c r="C15" s="8">
        <f>19763.5+87974.34</f>
        <v>107737.84</v>
      </c>
      <c r="D15" s="18">
        <f>C15+май!D15</f>
        <v>634275.63</v>
      </c>
      <c r="E15" s="9">
        <f>27068.3+81040.25</f>
        <v>108108.55</v>
      </c>
      <c r="F15" s="18">
        <f>E15+май!F15</f>
        <v>574945.12</v>
      </c>
      <c r="G15" s="18">
        <f t="shared" si="0"/>
        <v>370.7100000000064</v>
      </c>
      <c r="H15" s="19">
        <f t="shared" si="0"/>
        <v>-59330.510000000009</v>
      </c>
      <c r="I15" s="9"/>
      <c r="J15" s="19">
        <f>I15+май!J15</f>
        <v>0</v>
      </c>
      <c r="K15" s="8"/>
      <c r="L15" s="18">
        <f>K15+май!L15</f>
        <v>0</v>
      </c>
    </row>
    <row r="16" spans="1:13" ht="13.5" customHeight="1">
      <c r="A16" s="1">
        <f t="shared" si="1"/>
        <v>14</v>
      </c>
      <c r="B16" s="34" t="str">
        <f>май!B16</f>
        <v>Электроснабж.на общед.нужды</v>
      </c>
      <c r="C16" s="8">
        <f>1019.1+5107.72</f>
        <v>6126.8200000000006</v>
      </c>
      <c r="D16" s="18">
        <f>C16+май!D16</f>
        <v>42500.03</v>
      </c>
      <c r="E16" s="9">
        <f>1319.91+5460.9</f>
        <v>6780.8099999999995</v>
      </c>
      <c r="F16" s="18">
        <f>E16+май!F16</f>
        <v>40260.65</v>
      </c>
      <c r="G16" s="18">
        <f t="shared" si="0"/>
        <v>653.98999999999887</v>
      </c>
      <c r="H16" s="19">
        <f t="shared" si="0"/>
        <v>-2239.3799999999974</v>
      </c>
      <c r="I16" s="9"/>
      <c r="J16" s="19">
        <f>I16+май!J16</f>
        <v>0</v>
      </c>
      <c r="K16" s="8"/>
      <c r="L16" s="18">
        <f>K16+май!L16</f>
        <v>0</v>
      </c>
    </row>
    <row r="17" spans="1:12">
      <c r="A17" s="1">
        <f t="shared" si="1"/>
        <v>15</v>
      </c>
      <c r="B17" s="34" t="str">
        <f>май!B17</f>
        <v>Эксплуатация общедом.ПУ</v>
      </c>
      <c r="C17" s="8">
        <f>704.34+3530.54</f>
        <v>4234.88</v>
      </c>
      <c r="D17" s="18">
        <f>C17+май!D17</f>
        <v>26535.08</v>
      </c>
      <c r="E17" s="9">
        <f>859.6+3442.66</f>
        <v>4302.26</v>
      </c>
      <c r="F17" s="18">
        <f>E17+май!F17</f>
        <v>26406.269999999997</v>
      </c>
      <c r="G17" s="18">
        <f t="shared" si="0"/>
        <v>67.380000000000109</v>
      </c>
      <c r="H17" s="19">
        <f t="shared" si="0"/>
        <v>-128.81000000000495</v>
      </c>
      <c r="I17" s="9"/>
      <c r="J17" s="19">
        <f>I17+май!J17</f>
        <v>0</v>
      </c>
      <c r="K17" s="8"/>
      <c r="L17" s="18">
        <f>K17+май!L17</f>
        <v>0</v>
      </c>
    </row>
    <row r="18" spans="1:12" ht="12.75" customHeight="1">
      <c r="A18" s="1">
        <f t="shared" si="1"/>
        <v>16</v>
      </c>
      <c r="B18" s="34" t="str">
        <f>май!B18</f>
        <v>Водоотведение(о/д нужды)</v>
      </c>
      <c r="C18" s="8">
        <v>0</v>
      </c>
      <c r="D18" s="18">
        <f>C18+май!D18</f>
        <v>0</v>
      </c>
      <c r="E18" s="9">
        <v>19.850000000000001</v>
      </c>
      <c r="F18" s="18">
        <f>E18+май!F18</f>
        <v>19.850000000000001</v>
      </c>
      <c r="G18" s="18">
        <f t="shared" si="0"/>
        <v>19.850000000000001</v>
      </c>
      <c r="H18" s="19">
        <f t="shared" si="0"/>
        <v>19.850000000000001</v>
      </c>
      <c r="I18" s="9"/>
      <c r="J18" s="19">
        <f>I18+май!J18</f>
        <v>0</v>
      </c>
      <c r="K18" s="8"/>
      <c r="L18" s="18">
        <f>K18+май!L18</f>
        <v>0</v>
      </c>
    </row>
    <row r="19" spans="1:12">
      <c r="A19" s="1">
        <f t="shared" si="1"/>
        <v>17</v>
      </c>
      <c r="B19" s="34" t="str">
        <f>май!B19</f>
        <v>Отопление (о/д нужды)</v>
      </c>
      <c r="C19" s="8">
        <v>0</v>
      </c>
      <c r="D19" s="18">
        <f>C19+май!D19</f>
        <v>0</v>
      </c>
      <c r="E19" s="9">
        <v>165.79</v>
      </c>
      <c r="F19" s="18">
        <f>E19+май!F19</f>
        <v>526.85</v>
      </c>
      <c r="G19" s="18">
        <f t="shared" si="0"/>
        <v>165.79</v>
      </c>
      <c r="H19" s="19">
        <f t="shared" si="0"/>
        <v>526.85</v>
      </c>
      <c r="I19" s="9"/>
      <c r="J19" s="19">
        <f>I19+май!J19</f>
        <v>0</v>
      </c>
      <c r="K19" s="8"/>
      <c r="L19" s="18">
        <f>K19+май!L19</f>
        <v>0</v>
      </c>
    </row>
    <row r="20" spans="1:12" ht="12.75" customHeight="1">
      <c r="A20" s="1">
        <f t="shared" si="1"/>
        <v>18</v>
      </c>
      <c r="B20" s="34" t="str">
        <f>май!B20</f>
        <v>Гор.водоснабж.(о/д нужды)</v>
      </c>
      <c r="C20" s="8">
        <f>798.74+4010.85+175.25</f>
        <v>4984.84</v>
      </c>
      <c r="D20" s="18">
        <f>C20+май!D20</f>
        <v>29869.41</v>
      </c>
      <c r="E20" s="9">
        <f>999.37+3905.8+350.51</f>
        <v>5255.68</v>
      </c>
      <c r="F20" s="18">
        <f>E20+май!F20</f>
        <v>28265.829999999998</v>
      </c>
      <c r="G20" s="18">
        <f t="shared" si="0"/>
        <v>270.84000000000015</v>
      </c>
      <c r="H20" s="19">
        <f t="shared" si="0"/>
        <v>-1603.5800000000017</v>
      </c>
      <c r="I20" s="9"/>
      <c r="J20" s="19">
        <f>I20+май!J20</f>
        <v>0</v>
      </c>
      <c r="K20" s="9"/>
      <c r="L20" s="18">
        <f>K20+май!L20</f>
        <v>0</v>
      </c>
    </row>
    <row r="21" spans="1:12">
      <c r="A21" s="1">
        <f t="shared" si="1"/>
        <v>19</v>
      </c>
      <c r="B21" s="34" t="str">
        <f>май!B21</f>
        <v>Холодн водосн о/д нужды</v>
      </c>
      <c r="C21" s="8">
        <f>358.64+1800.03</f>
        <v>2158.67</v>
      </c>
      <c r="D21" s="18">
        <f>C21+май!D21</f>
        <v>12888.220000000001</v>
      </c>
      <c r="E21" s="9">
        <f>558.23+1797.83</f>
        <v>2356.06</v>
      </c>
      <c r="F21" s="18">
        <f>E21+май!F21</f>
        <v>12096.689999999999</v>
      </c>
      <c r="G21" s="18">
        <f t="shared" si="0"/>
        <v>197.38999999999987</v>
      </c>
      <c r="H21" s="19">
        <f t="shared" si="0"/>
        <v>-791.53000000000247</v>
      </c>
      <c r="I21" s="9"/>
      <c r="J21" s="19">
        <f>I21+май!J21</f>
        <v>0</v>
      </c>
      <c r="K21" s="8"/>
      <c r="L21" s="18">
        <f>K21+май!L21</f>
        <v>0</v>
      </c>
    </row>
    <row r="22" spans="1:12">
      <c r="A22" s="1">
        <f t="shared" si="1"/>
        <v>20</v>
      </c>
      <c r="B22" s="34">
        <f>май!B22</f>
        <v>0</v>
      </c>
      <c r="C22" s="8">
        <v>0</v>
      </c>
      <c r="D22" s="18">
        <f>C22+май!D22</f>
        <v>0</v>
      </c>
      <c r="E22" s="9">
        <v>0</v>
      </c>
      <c r="F22" s="18">
        <f>E22+май!F22</f>
        <v>0</v>
      </c>
      <c r="G22" s="18">
        <f t="shared" si="0"/>
        <v>0</v>
      </c>
      <c r="H22" s="19">
        <f t="shared" si="0"/>
        <v>0</v>
      </c>
      <c r="I22" s="9"/>
      <c r="J22" s="19">
        <f>I22+май!J22</f>
        <v>0</v>
      </c>
      <c r="K22" s="8"/>
      <c r="L22" s="18">
        <f>K22+май!L22</f>
        <v>0</v>
      </c>
    </row>
    <row r="23" spans="1:12" ht="18" customHeight="1">
      <c r="A23" s="1"/>
      <c r="B23" s="20" t="s">
        <v>12</v>
      </c>
      <c r="C23" s="18">
        <f t="shared" ref="C23:L23" si="2">SUM(C3:C22)</f>
        <v>526385.81000000006</v>
      </c>
      <c r="D23" s="18">
        <f t="shared" si="2"/>
        <v>4498747.78</v>
      </c>
      <c r="E23" s="19">
        <f t="shared" si="2"/>
        <v>691321.18000000017</v>
      </c>
      <c r="F23" s="18">
        <f t="shared" si="2"/>
        <v>4370411.49</v>
      </c>
      <c r="G23" s="18">
        <f t="shared" si="2"/>
        <v>164935.37000000002</v>
      </c>
      <c r="H23" s="19">
        <f t="shared" si="2"/>
        <v>-128336.28999999991</v>
      </c>
      <c r="I23" s="19">
        <f t="shared" si="2"/>
        <v>0</v>
      </c>
      <c r="J23" s="19">
        <f t="shared" si="2"/>
        <v>0</v>
      </c>
      <c r="K23" s="18">
        <f t="shared" si="2"/>
        <v>0</v>
      </c>
      <c r="L23" s="18">
        <f t="shared" si="2"/>
        <v>0</v>
      </c>
    </row>
    <row r="24" spans="1:12" ht="18" customHeight="1"/>
    <row r="25" spans="1:12" ht="18" customHeight="1"/>
    <row r="26" spans="1:12" ht="15" customHeight="1">
      <c r="B26" s="38" t="s">
        <v>34</v>
      </c>
      <c r="C26" s="9">
        <f t="shared" ref="C26:H26" si="3">C3+C6+C7+C8+C9+C13+C14+C17</f>
        <v>179009.29</v>
      </c>
      <c r="D26" s="9">
        <f t="shared" si="3"/>
        <v>1062148.6400000001</v>
      </c>
      <c r="E26" s="9">
        <f t="shared" si="3"/>
        <v>181730.94</v>
      </c>
      <c r="F26" s="9">
        <f t="shared" si="3"/>
        <v>978049.59000000008</v>
      </c>
      <c r="G26" s="9">
        <f t="shared" si="3"/>
        <v>2721.649999999991</v>
      </c>
      <c r="H26" s="9">
        <f t="shared" si="3"/>
        <v>-84099.049999999901</v>
      </c>
    </row>
    <row r="27" spans="1:12" ht="15" customHeight="1"/>
    <row r="28" spans="1:12" ht="15" customHeight="1">
      <c r="B28" s="1" t="s">
        <v>35</v>
      </c>
      <c r="C28" s="9">
        <f>C10+C11+C12+C15+C18+C21</f>
        <v>171978.80000000002</v>
      </c>
      <c r="D28" s="9">
        <f t="shared" ref="D28:J28" si="4">D10+D11+D12+D15+D18+D21</f>
        <v>1017049.72</v>
      </c>
      <c r="E28" s="9">
        <f t="shared" si="4"/>
        <v>174160.53</v>
      </c>
      <c r="F28" s="9">
        <f t="shared" si="4"/>
        <v>926511.66999999993</v>
      </c>
      <c r="G28" s="9">
        <f t="shared" si="4"/>
        <v>2181.7300000000055</v>
      </c>
      <c r="H28" s="9">
        <f t="shared" si="4"/>
        <v>-90538.049999999945</v>
      </c>
      <c r="I28" s="9">
        <f t="shared" si="4"/>
        <v>0</v>
      </c>
      <c r="J28" s="9">
        <f t="shared" si="4"/>
        <v>0</v>
      </c>
    </row>
    <row r="29" spans="1:12">
      <c r="B29" s="1" t="s">
        <v>36</v>
      </c>
      <c r="C29" s="9">
        <f>C16</f>
        <v>6126.8200000000006</v>
      </c>
      <c r="D29" s="9">
        <f t="shared" ref="D29:J29" si="5">D16</f>
        <v>42500.03</v>
      </c>
      <c r="E29" s="9">
        <f t="shared" si="5"/>
        <v>6780.8099999999995</v>
      </c>
      <c r="F29" s="9">
        <f t="shared" si="5"/>
        <v>40260.65</v>
      </c>
      <c r="G29" s="9">
        <f t="shared" si="5"/>
        <v>653.98999999999887</v>
      </c>
      <c r="H29" s="9">
        <f t="shared" si="5"/>
        <v>-2239.3799999999974</v>
      </c>
      <c r="I29" s="9">
        <f t="shared" si="5"/>
        <v>0</v>
      </c>
      <c r="J29" s="9">
        <f t="shared" si="5"/>
        <v>0</v>
      </c>
    </row>
    <row r="30" spans="1:12" ht="13.5" customHeight="1">
      <c r="B30" s="1" t="s">
        <v>37</v>
      </c>
      <c r="C30" s="9">
        <f>C4+C5+C19+C20</f>
        <v>169270.9</v>
      </c>
      <c r="D30" s="9">
        <f t="shared" ref="D30:J30" si="6">D4+D5+D19+D20</f>
        <v>2377049.39</v>
      </c>
      <c r="E30" s="9">
        <f t="shared" si="6"/>
        <v>328648.89999999997</v>
      </c>
      <c r="F30" s="9">
        <f t="shared" si="6"/>
        <v>2425589.58</v>
      </c>
      <c r="G30" s="9">
        <f t="shared" si="6"/>
        <v>159378</v>
      </c>
      <c r="H30" s="9">
        <f t="shared" si="6"/>
        <v>48540.189999999922</v>
      </c>
      <c r="I30" s="9">
        <f t="shared" si="6"/>
        <v>0</v>
      </c>
      <c r="J30" s="9">
        <f t="shared" si="6"/>
        <v>0</v>
      </c>
    </row>
    <row r="33" spans="3:10">
      <c r="C33">
        <f>92813.61+433572.2</f>
        <v>526385.81000000006</v>
      </c>
      <c r="E33">
        <f>155500.22+535820.96</f>
        <v>691321.17999999993</v>
      </c>
    </row>
    <row r="38" spans="3:10">
      <c r="I38" s="11"/>
      <c r="J38" s="11"/>
    </row>
  </sheetData>
  <phoneticPr fontId="0" type="noConversion"/>
  <pageMargins left="0" right="0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activeCell="B1" sqref="B1"/>
    </sheetView>
  </sheetViews>
  <sheetFormatPr defaultRowHeight="12.75"/>
  <cols>
    <col min="1" max="1" width="3.28515625" customWidth="1"/>
    <col min="2" max="2" width="28.28515625" customWidth="1"/>
    <col min="3" max="3" width="11.7109375" customWidth="1"/>
    <col min="4" max="4" width="11.85546875" customWidth="1"/>
    <col min="5" max="5" width="11" customWidth="1"/>
    <col min="6" max="6" width="11.5703125" customWidth="1"/>
    <col min="7" max="8" width="11.42578125" customWidth="1"/>
    <col min="9" max="9" width="10.140625" bestFit="1" customWidth="1"/>
    <col min="10" max="10" width="11.28515625" customWidth="1"/>
    <col min="11" max="11" width="10.140625" customWidth="1"/>
    <col min="12" max="12" width="11" customWidth="1"/>
    <col min="13" max="13" width="9.85546875" customWidth="1"/>
  </cols>
  <sheetData>
    <row r="1" spans="1:13" ht="42.75" customHeight="1">
      <c r="B1" s="11" t="s">
        <v>18</v>
      </c>
      <c r="D1" s="11" t="s">
        <v>46</v>
      </c>
      <c r="E1" s="11"/>
      <c r="G1" s="11"/>
      <c r="H1" s="11"/>
      <c r="J1" s="11"/>
      <c r="K1" s="11"/>
    </row>
    <row r="2" spans="1:13" s="33" customFormat="1" ht="38.25">
      <c r="A2" s="27" t="s">
        <v>0</v>
      </c>
      <c r="B2" s="28" t="s">
        <v>1</v>
      </c>
      <c r="C2" s="29" t="s">
        <v>2</v>
      </c>
      <c r="D2" s="30" t="s">
        <v>3</v>
      </c>
      <c r="E2" s="31" t="s">
        <v>4</v>
      </c>
      <c r="F2" s="30" t="s">
        <v>5</v>
      </c>
      <c r="G2" s="30" t="s">
        <v>6</v>
      </c>
      <c r="H2" s="32" t="s">
        <v>7</v>
      </c>
      <c r="I2" s="31" t="s">
        <v>8</v>
      </c>
      <c r="J2" s="32" t="s">
        <v>9</v>
      </c>
      <c r="K2" s="28" t="s">
        <v>10</v>
      </c>
      <c r="L2" s="30" t="s">
        <v>11</v>
      </c>
    </row>
    <row r="3" spans="1:13" ht="13.5" customHeight="1">
      <c r="A3" s="1">
        <v>1</v>
      </c>
      <c r="B3" s="34" t="str">
        <f>июнь!B3</f>
        <v>Содержание общ.имущ.дома</v>
      </c>
      <c r="C3" s="8">
        <f>13308.09+66704.29</f>
        <v>80012.37999999999</v>
      </c>
      <c r="D3" s="18">
        <f>C3+июнь!D3</f>
        <v>531820.12</v>
      </c>
      <c r="E3" s="9">
        <f>21212.84+59902.72</f>
        <v>81115.56</v>
      </c>
      <c r="F3" s="18">
        <f>E3+июнь!F3</f>
        <v>495300.24000000005</v>
      </c>
      <c r="G3" s="18">
        <f>E3-C3</f>
        <v>1103.1800000000076</v>
      </c>
      <c r="H3" s="19">
        <f>F3-D3</f>
        <v>-36519.879999999946</v>
      </c>
      <c r="I3" s="9"/>
      <c r="J3" s="19">
        <f>I3+июнь!J3</f>
        <v>0</v>
      </c>
      <c r="K3" s="8"/>
      <c r="L3" s="18">
        <f>K3+июнь!L3</f>
        <v>0</v>
      </c>
    </row>
    <row r="4" spans="1:13">
      <c r="A4" s="1">
        <f>A3+1</f>
        <v>2</v>
      </c>
      <c r="B4" s="34" t="str">
        <f>июнь!B4</f>
        <v>Отопление</v>
      </c>
      <c r="C4" s="8">
        <v>0</v>
      </c>
      <c r="D4" s="18">
        <f>C4+июнь!D4</f>
        <v>1396205.97</v>
      </c>
      <c r="E4" s="9">
        <f>35093.01+32884.97</f>
        <v>67977.98000000001</v>
      </c>
      <c r="F4" s="18">
        <f>E4+июнь!F4</f>
        <v>1599634.5599999998</v>
      </c>
      <c r="G4" s="18">
        <f t="shared" ref="G4:H22" si="0">E4-C4</f>
        <v>67977.98000000001</v>
      </c>
      <c r="H4" s="19">
        <f t="shared" si="0"/>
        <v>203428.58999999985</v>
      </c>
      <c r="I4" s="9"/>
      <c r="J4" s="19">
        <f>I4+июнь!J4</f>
        <v>0</v>
      </c>
      <c r="K4" s="8"/>
      <c r="L4" s="18">
        <f>K4+июнь!L4</f>
        <v>0</v>
      </c>
      <c r="M4" s="24">
        <f>L4-J4</f>
        <v>0</v>
      </c>
    </row>
    <row r="5" spans="1:13">
      <c r="A5" s="1">
        <f t="shared" ref="A5:A22" si="1">A4+1</f>
        <v>3</v>
      </c>
      <c r="B5" s="42" t="str">
        <f>июнь!B5</f>
        <v>Горячее водоснабжение</v>
      </c>
      <c r="C5" s="8">
        <f>30664.52+128730.45</f>
        <v>159394.97</v>
      </c>
      <c r="D5" s="18">
        <f>C5+июнь!D5</f>
        <v>1110368.98</v>
      </c>
      <c r="E5" s="9">
        <f>37411.71+122193.31</f>
        <v>159605.01999999999</v>
      </c>
      <c r="F5" s="18">
        <f>E5+июнь!F5</f>
        <v>1024745.3400000001</v>
      </c>
      <c r="G5" s="18">
        <f t="shared" si="0"/>
        <v>210.04999999998836</v>
      </c>
      <c r="H5" s="19">
        <f t="shared" si="0"/>
        <v>-85623.639999999898</v>
      </c>
      <c r="I5" s="9"/>
      <c r="J5" s="19">
        <f>I5+июнь!J5</f>
        <v>0</v>
      </c>
      <c r="K5" s="8"/>
      <c r="L5" s="18">
        <f>K5+июнь!L5</f>
        <v>0</v>
      </c>
    </row>
    <row r="6" spans="1:13">
      <c r="A6" s="1">
        <f t="shared" si="1"/>
        <v>4</v>
      </c>
      <c r="B6" s="34" t="str">
        <f>июнь!B6</f>
        <v>Сод.и ремонт АППЗ</v>
      </c>
      <c r="C6" s="8">
        <f>469.6+2353.62</f>
        <v>2823.22</v>
      </c>
      <c r="D6" s="18">
        <f>C6+июнь!D6</f>
        <v>19567.07</v>
      </c>
      <c r="E6" s="9">
        <f>819.42+2161.45</f>
        <v>2980.87</v>
      </c>
      <c r="F6" s="18">
        <f>E6+июнь!F6</f>
        <v>18455.3</v>
      </c>
      <c r="G6" s="18">
        <f t="shared" si="0"/>
        <v>157.65000000000009</v>
      </c>
      <c r="H6" s="19">
        <f t="shared" si="0"/>
        <v>-1111.7700000000004</v>
      </c>
      <c r="I6" s="9"/>
      <c r="J6" s="19">
        <f>I6+июнь!J6</f>
        <v>0</v>
      </c>
      <c r="K6" s="8"/>
      <c r="L6" s="18">
        <f>K6+июнь!L6</f>
        <v>0</v>
      </c>
    </row>
    <row r="7" spans="1:13">
      <c r="A7" s="1">
        <f t="shared" si="1"/>
        <v>5</v>
      </c>
      <c r="B7" s="34" t="str">
        <f>июнь!B7</f>
        <v>Сод.и ремонт лифтов</v>
      </c>
      <c r="C7" s="8">
        <f>3148.28+15577.77</f>
        <v>18726.05</v>
      </c>
      <c r="D7" s="18">
        <f>C7+июнь!D7</f>
        <v>129704.21</v>
      </c>
      <c r="E7" s="9">
        <f>6182.12+14308.82</f>
        <v>20490.939999999999</v>
      </c>
      <c r="F7" s="18">
        <f>E7+июнь!F7</f>
        <v>123855.69</v>
      </c>
      <c r="G7" s="18">
        <f t="shared" si="0"/>
        <v>1764.8899999999994</v>
      </c>
      <c r="H7" s="19">
        <f t="shared" si="0"/>
        <v>-5848.5200000000041</v>
      </c>
      <c r="I7" s="9"/>
      <c r="J7" s="19">
        <f>I7+июнь!J7</f>
        <v>0</v>
      </c>
      <c r="K7" s="8"/>
      <c r="L7" s="18">
        <f>K7+июнь!L7</f>
        <v>0</v>
      </c>
    </row>
    <row r="8" spans="1:13">
      <c r="A8" s="1">
        <f t="shared" si="1"/>
        <v>6</v>
      </c>
      <c r="B8" s="34" t="str">
        <f>июнь!B8</f>
        <v>Очистка мусоропроводов</v>
      </c>
      <c r="C8" s="8">
        <f>1696.86+8147.62</f>
        <v>9844.48</v>
      </c>
      <c r="D8" s="18">
        <f>C8+июнь!D8</f>
        <v>62030.25</v>
      </c>
      <c r="E8" s="9">
        <f>2671.17+6933.42</f>
        <v>9604.59</v>
      </c>
      <c r="F8" s="18">
        <f>E8+июнь!F8</f>
        <v>57497.34</v>
      </c>
      <c r="G8" s="18">
        <f t="shared" si="0"/>
        <v>-239.88999999999942</v>
      </c>
      <c r="H8" s="19">
        <f t="shared" si="0"/>
        <v>-4532.9100000000035</v>
      </c>
      <c r="I8" s="9"/>
      <c r="J8" s="19">
        <f>I8+июнь!J8</f>
        <v>0</v>
      </c>
      <c r="K8" s="8"/>
      <c r="L8" s="18">
        <f>K8+июнь!L8</f>
        <v>0</v>
      </c>
    </row>
    <row r="9" spans="1:13" ht="15.75" customHeight="1">
      <c r="A9" s="1">
        <f t="shared" si="1"/>
        <v>7</v>
      </c>
      <c r="B9" s="34" t="str">
        <f>июнь!B9</f>
        <v>Уборка и сан.очистка зем.уч.</v>
      </c>
      <c r="C9" s="8">
        <f>2006.36+10056.42</f>
        <v>12062.78</v>
      </c>
      <c r="D9" s="18">
        <f>C9+июнь!D9</f>
        <v>81807.710000000006</v>
      </c>
      <c r="E9" s="9">
        <f>3176.13+9086.65</f>
        <v>12262.779999999999</v>
      </c>
      <c r="F9" s="18">
        <f>E9+июнь!F9</f>
        <v>75930.109999999986</v>
      </c>
      <c r="G9" s="18">
        <f t="shared" si="0"/>
        <v>199.99999999999818</v>
      </c>
      <c r="H9" s="19">
        <f t="shared" si="0"/>
        <v>-5877.6000000000204</v>
      </c>
      <c r="I9" s="9"/>
      <c r="J9" s="19">
        <f>I9+июнь!J9</f>
        <v>0</v>
      </c>
      <c r="K9" s="8"/>
      <c r="L9" s="18">
        <f>K9+июнь!L9</f>
        <v>0</v>
      </c>
    </row>
    <row r="10" spans="1:13">
      <c r="A10" s="1">
        <f t="shared" si="1"/>
        <v>8</v>
      </c>
      <c r="B10" s="34" t="str">
        <f>июнь!B10</f>
        <v>Холодная вода</v>
      </c>
      <c r="C10" s="8">
        <f>12488.19+56621.87</f>
        <v>69110.06</v>
      </c>
      <c r="D10" s="18">
        <f>C10+июнь!D10</f>
        <v>438995.92999999993</v>
      </c>
      <c r="E10" s="9">
        <f>14512.54+47369.36</f>
        <v>61881.9</v>
      </c>
      <c r="F10" s="18">
        <f>E10+июнь!F10</f>
        <v>398563.71</v>
      </c>
      <c r="G10" s="18">
        <f t="shared" si="0"/>
        <v>-7228.1599999999962</v>
      </c>
      <c r="H10" s="19">
        <f t="shared" si="0"/>
        <v>-40432.219999999914</v>
      </c>
      <c r="I10" s="9"/>
      <c r="J10" s="19">
        <f>I10+июнь!J10</f>
        <v>0</v>
      </c>
      <c r="K10" s="8"/>
      <c r="L10" s="18">
        <f>K10+июнь!L10</f>
        <v>0</v>
      </c>
    </row>
    <row r="11" spans="1:13">
      <c r="A11" s="1">
        <f t="shared" si="1"/>
        <v>9</v>
      </c>
      <c r="B11" s="42" t="str">
        <f>июнь!B11</f>
        <v>Канализир.х.воды</v>
      </c>
      <c r="C11" s="8">
        <v>0</v>
      </c>
      <c r="D11" s="18">
        <f>C11+июнь!D11</f>
        <v>0</v>
      </c>
      <c r="E11" s="9">
        <v>0</v>
      </c>
      <c r="F11" s="18">
        <f>E11+июнь!F11</f>
        <v>1646.1499999999999</v>
      </c>
      <c r="G11" s="18">
        <f t="shared" si="0"/>
        <v>0</v>
      </c>
      <c r="H11" s="19">
        <f t="shared" si="0"/>
        <v>1646.1499999999999</v>
      </c>
      <c r="I11" s="9"/>
      <c r="J11" s="19">
        <f>I11+июнь!J11</f>
        <v>0</v>
      </c>
      <c r="K11" s="8"/>
      <c r="L11" s="18">
        <f>K11+июнь!L11</f>
        <v>0</v>
      </c>
    </row>
    <row r="12" spans="1:13">
      <c r="A12" s="1">
        <f t="shared" si="1"/>
        <v>10</v>
      </c>
      <c r="B12" s="34" t="str">
        <f>июнь!B12</f>
        <v>Канализир.г.воды</v>
      </c>
      <c r="C12" s="8">
        <v>0</v>
      </c>
      <c r="D12" s="18">
        <f>C12+июнь!D12</f>
        <v>0</v>
      </c>
      <c r="E12" s="9">
        <v>0</v>
      </c>
      <c r="F12" s="18">
        <f>E12+июнь!F12</f>
        <v>1122.05</v>
      </c>
      <c r="G12" s="18">
        <f t="shared" si="0"/>
        <v>0</v>
      </c>
      <c r="H12" s="19">
        <f t="shared" si="0"/>
        <v>1122.05</v>
      </c>
      <c r="I12" s="9"/>
      <c r="J12" s="19">
        <f>I12+июнь!J12</f>
        <v>0</v>
      </c>
      <c r="K12" s="8"/>
      <c r="L12" s="18">
        <f>K12+июнь!L12</f>
        <v>0</v>
      </c>
    </row>
    <row r="13" spans="1:13">
      <c r="A13" s="1">
        <f t="shared" si="1"/>
        <v>11</v>
      </c>
      <c r="B13" s="34" t="str">
        <f>июнь!B13</f>
        <v>Тек.рем.общ.имущ.дома</v>
      </c>
      <c r="C13" s="8">
        <f>6627.38+33218.4</f>
        <v>39845.78</v>
      </c>
      <c r="D13" s="18">
        <f>C13+июнь!D13</f>
        <v>276275.13</v>
      </c>
      <c r="E13" s="9">
        <f>11104.59+30460.51</f>
        <v>41565.1</v>
      </c>
      <c r="F13" s="18">
        <f>E13+июнь!F13</f>
        <v>260211.74000000002</v>
      </c>
      <c r="G13" s="18">
        <f t="shared" si="0"/>
        <v>1719.3199999999997</v>
      </c>
      <c r="H13" s="19">
        <f t="shared" si="0"/>
        <v>-16063.389999999985</v>
      </c>
      <c r="I13" s="9"/>
      <c r="J13" s="19">
        <f>I13+июнь!J13</f>
        <v>0</v>
      </c>
      <c r="K13" s="8"/>
      <c r="L13" s="18">
        <f>K13+июнь!L13</f>
        <v>0</v>
      </c>
    </row>
    <row r="14" spans="1:13" ht="14.25" customHeight="1">
      <c r="A14" s="1">
        <f t="shared" si="1"/>
        <v>12</v>
      </c>
      <c r="B14" s="34" t="str">
        <f>июнь!B14</f>
        <v>Управление многокв.домом</v>
      </c>
      <c r="C14" s="8">
        <f>3201.63+16047.54</f>
        <v>19249.170000000002</v>
      </c>
      <c r="D14" s="18">
        <f>C14+июнь!D14</f>
        <v>116972.92999999998</v>
      </c>
      <c r="E14" s="9">
        <f>4344.29+13756.61</f>
        <v>18100.900000000001</v>
      </c>
      <c r="F14" s="18">
        <f>E14+июнь!F14</f>
        <v>106513.64000000001</v>
      </c>
      <c r="G14" s="18">
        <f t="shared" si="0"/>
        <v>-1148.2700000000004</v>
      </c>
      <c r="H14" s="19">
        <f t="shared" si="0"/>
        <v>-10459.289999999964</v>
      </c>
      <c r="I14" s="9"/>
      <c r="J14" s="19">
        <f>I14+июнь!J14</f>
        <v>0</v>
      </c>
      <c r="K14" s="8"/>
      <c r="L14" s="18">
        <f>K14+июнь!L14</f>
        <v>0</v>
      </c>
    </row>
    <row r="15" spans="1:13">
      <c r="A15" s="1">
        <f t="shared" si="1"/>
        <v>13</v>
      </c>
      <c r="B15" s="34" t="str">
        <f>июнь!B15</f>
        <v>Водоотведение(кв)</v>
      </c>
      <c r="C15" s="8">
        <f>21296.73+93600.22</f>
        <v>114896.95</v>
      </c>
      <c r="D15" s="18">
        <f>C15+июнь!D15</f>
        <v>749172.58</v>
      </c>
      <c r="E15" s="9">
        <f>24928.19+81830.68</f>
        <v>106758.87</v>
      </c>
      <c r="F15" s="18">
        <f>E15+июнь!F15</f>
        <v>681703.99</v>
      </c>
      <c r="G15" s="18">
        <f t="shared" si="0"/>
        <v>-8138.0800000000017</v>
      </c>
      <c r="H15" s="19">
        <f t="shared" si="0"/>
        <v>-67468.589999999967</v>
      </c>
      <c r="I15" s="9"/>
      <c r="J15" s="19">
        <f>I15+июнь!J15</f>
        <v>0</v>
      </c>
      <c r="K15" s="8"/>
      <c r="L15" s="18">
        <f>K15+июнь!L15</f>
        <v>0</v>
      </c>
    </row>
    <row r="16" spans="1:13" ht="15" customHeight="1">
      <c r="A16" s="1">
        <f t="shared" si="1"/>
        <v>14</v>
      </c>
      <c r="B16" s="34" t="str">
        <f>июнь!B16</f>
        <v>Электроснабж.на общед.нужды</v>
      </c>
      <c r="C16" s="8">
        <f>831.28+4167.17+182.27</f>
        <v>5180.72</v>
      </c>
      <c r="D16" s="18">
        <f>C16+июнь!D16</f>
        <v>47680.75</v>
      </c>
      <c r="E16" s="9">
        <f>2024.74+4852.66-350.51</f>
        <v>6526.8899999999994</v>
      </c>
      <c r="F16" s="18">
        <f>E16+июнь!F16</f>
        <v>46787.54</v>
      </c>
      <c r="G16" s="18">
        <f t="shared" si="0"/>
        <v>1346.1699999999992</v>
      </c>
      <c r="H16" s="19">
        <f t="shared" si="0"/>
        <v>-893.20999999999913</v>
      </c>
      <c r="I16" s="9"/>
      <c r="J16" s="19">
        <f>I16+июнь!J16</f>
        <v>0</v>
      </c>
      <c r="K16" s="8"/>
      <c r="L16" s="18">
        <f>K16+июнь!L16</f>
        <v>0</v>
      </c>
    </row>
    <row r="17" spans="1:12" ht="13.5" customHeight="1">
      <c r="A17" s="1">
        <f t="shared" si="1"/>
        <v>15</v>
      </c>
      <c r="B17" s="34" t="str">
        <f>июнь!B17</f>
        <v>Эксплуатация общедом.ПУ</v>
      </c>
      <c r="C17" s="8">
        <f>704.34+3530.54</f>
        <v>4234.88</v>
      </c>
      <c r="D17" s="18">
        <f>C17+июнь!D17</f>
        <v>30769.960000000003</v>
      </c>
      <c r="E17" s="9">
        <f>1208.47+3237.4</f>
        <v>4445.87</v>
      </c>
      <c r="F17" s="18">
        <f>E17+июнь!F17</f>
        <v>30852.139999999996</v>
      </c>
      <c r="G17" s="18">
        <f t="shared" si="0"/>
        <v>210.98999999999978</v>
      </c>
      <c r="H17" s="19">
        <f t="shared" si="0"/>
        <v>82.179999999993015</v>
      </c>
      <c r="I17" s="9"/>
      <c r="J17" s="19">
        <f>I17+июнь!J17</f>
        <v>0</v>
      </c>
      <c r="K17" s="8"/>
      <c r="L17" s="18">
        <f>K17+июнь!L17</f>
        <v>0</v>
      </c>
    </row>
    <row r="18" spans="1:12" ht="14.25" customHeight="1">
      <c r="A18" s="1">
        <f t="shared" si="1"/>
        <v>16</v>
      </c>
      <c r="B18" s="34" t="str">
        <f>июнь!B18</f>
        <v>Водоотведение(о/д нужды)</v>
      </c>
      <c r="C18" s="8">
        <v>0</v>
      </c>
      <c r="D18" s="18">
        <f>C18+июнь!D18</f>
        <v>0</v>
      </c>
      <c r="E18" s="9">
        <v>0</v>
      </c>
      <c r="F18" s="18">
        <f>E18+июнь!F18</f>
        <v>19.850000000000001</v>
      </c>
      <c r="G18" s="18">
        <f t="shared" si="0"/>
        <v>0</v>
      </c>
      <c r="H18" s="19">
        <f t="shared" si="0"/>
        <v>19.850000000000001</v>
      </c>
      <c r="I18" s="9"/>
      <c r="J18" s="19">
        <f>I18+июнь!J18</f>
        <v>0</v>
      </c>
      <c r="K18" s="8"/>
      <c r="L18" s="18">
        <f>K18+июнь!L18</f>
        <v>0</v>
      </c>
    </row>
    <row r="19" spans="1:12">
      <c r="A19" s="1">
        <f t="shared" si="1"/>
        <v>17</v>
      </c>
      <c r="B19" s="34" t="str">
        <f>июнь!B19</f>
        <v>Отопление (о/д нужды)</v>
      </c>
      <c r="C19" s="8">
        <v>0</v>
      </c>
      <c r="D19" s="18">
        <f>C19+июнь!D19</f>
        <v>0</v>
      </c>
      <c r="E19" s="9">
        <v>0</v>
      </c>
      <c r="F19" s="18">
        <f>E19+июнь!F19</f>
        <v>526.85</v>
      </c>
      <c r="G19" s="18">
        <f t="shared" si="0"/>
        <v>0</v>
      </c>
      <c r="H19" s="19">
        <f t="shared" si="0"/>
        <v>526.85</v>
      </c>
      <c r="I19" s="9"/>
      <c r="J19" s="19">
        <f>I19+июнь!J19</f>
        <v>0</v>
      </c>
      <c r="K19" s="8"/>
      <c r="L19" s="18">
        <f>K19+июнь!L19</f>
        <v>0</v>
      </c>
    </row>
    <row r="20" spans="1:12" ht="15" customHeight="1">
      <c r="A20" s="1">
        <f t="shared" si="1"/>
        <v>18</v>
      </c>
      <c r="B20" s="34" t="str">
        <f>июнь!B20</f>
        <v>Гор.водоснабж.(о/д нужды)</v>
      </c>
      <c r="C20" s="8">
        <f>830.69+4171.35</f>
        <v>5002.0400000000009</v>
      </c>
      <c r="D20" s="18">
        <f>C20+июнь!D20</f>
        <v>34871.449999999997</v>
      </c>
      <c r="E20" s="9">
        <f>1485.45+3768.83</f>
        <v>5254.28</v>
      </c>
      <c r="F20" s="18">
        <f>E20+июнь!F20</f>
        <v>33520.11</v>
      </c>
      <c r="G20" s="18">
        <f t="shared" si="0"/>
        <v>252.23999999999887</v>
      </c>
      <c r="H20" s="19">
        <f t="shared" si="0"/>
        <v>-1351.3399999999965</v>
      </c>
      <c r="I20" s="9"/>
      <c r="J20" s="19">
        <f>I20+июнь!J20</f>
        <v>0</v>
      </c>
      <c r="K20" s="9"/>
      <c r="L20" s="18">
        <f>K20+июнь!L20</f>
        <v>0</v>
      </c>
    </row>
    <row r="21" spans="1:12" ht="14.25" customHeight="1">
      <c r="A21" s="1">
        <f t="shared" si="1"/>
        <v>19</v>
      </c>
      <c r="B21" s="34" t="str">
        <f>июнь!B21</f>
        <v>Холодн водосн о/д нужды</v>
      </c>
      <c r="C21" s="8">
        <f>385.4+1934.25</f>
        <v>2319.65</v>
      </c>
      <c r="D21" s="18">
        <f>C21+июнь!D21</f>
        <v>15207.87</v>
      </c>
      <c r="E21" s="9">
        <f>1047.27+1741.15</f>
        <v>2788.42</v>
      </c>
      <c r="F21" s="18">
        <f>E21+июнь!F21</f>
        <v>14885.109999999999</v>
      </c>
      <c r="G21" s="18">
        <f t="shared" si="0"/>
        <v>468.77</v>
      </c>
      <c r="H21" s="19">
        <f t="shared" si="0"/>
        <v>-322.76000000000204</v>
      </c>
      <c r="I21" s="9"/>
      <c r="J21" s="19">
        <f>I21+июнь!J21</f>
        <v>0</v>
      </c>
      <c r="K21" s="8"/>
      <c r="L21" s="18">
        <f>K21+июнь!L21</f>
        <v>0</v>
      </c>
    </row>
    <row r="22" spans="1:12">
      <c r="A22" s="1">
        <f t="shared" si="1"/>
        <v>20</v>
      </c>
      <c r="B22" s="34">
        <f>июнь!B22</f>
        <v>0</v>
      </c>
      <c r="C22" s="8">
        <v>0</v>
      </c>
      <c r="D22" s="18">
        <f>C22+июнь!D22</f>
        <v>0</v>
      </c>
      <c r="E22" s="9">
        <v>0</v>
      </c>
      <c r="F22" s="18">
        <f>E22+июнь!F22</f>
        <v>0</v>
      </c>
      <c r="G22" s="18">
        <f t="shared" si="0"/>
        <v>0</v>
      </c>
      <c r="H22" s="19">
        <f t="shared" si="0"/>
        <v>0</v>
      </c>
      <c r="I22" s="9"/>
      <c r="J22" s="19">
        <f>I22+июнь!J22</f>
        <v>0</v>
      </c>
      <c r="K22" s="8"/>
      <c r="L22" s="18">
        <f>K22+июнь!L22</f>
        <v>0</v>
      </c>
    </row>
    <row r="23" spans="1:12">
      <c r="A23" s="1"/>
      <c r="B23" s="20" t="s">
        <v>12</v>
      </c>
      <c r="C23" s="22">
        <f t="shared" ref="C23:L23" si="2">SUM(C3:C22)</f>
        <v>542703.13</v>
      </c>
      <c r="D23" s="18">
        <f t="shared" si="2"/>
        <v>5041450.9099999992</v>
      </c>
      <c r="E23" s="23">
        <f t="shared" si="2"/>
        <v>601359.97000000009</v>
      </c>
      <c r="F23" s="18">
        <f t="shared" si="2"/>
        <v>4971771.459999999</v>
      </c>
      <c r="G23" s="18">
        <f t="shared" si="2"/>
        <v>58656.839999999989</v>
      </c>
      <c r="H23" s="19">
        <f t="shared" si="2"/>
        <v>-69679.449999999866</v>
      </c>
      <c r="I23" s="19">
        <f t="shared" si="2"/>
        <v>0</v>
      </c>
      <c r="J23" s="19">
        <f t="shared" si="2"/>
        <v>0</v>
      </c>
      <c r="K23" s="18">
        <f t="shared" si="2"/>
        <v>0</v>
      </c>
      <c r="L23" s="18">
        <f t="shared" si="2"/>
        <v>0</v>
      </c>
    </row>
    <row r="24" spans="1:12" ht="11.25" customHeight="1"/>
    <row r="25" spans="1:12" hidden="1"/>
    <row r="26" spans="1:12" hidden="1"/>
    <row r="27" spans="1:12" hidden="1"/>
    <row r="28" spans="1:12">
      <c r="B28" s="1" t="s">
        <v>35</v>
      </c>
      <c r="C28" s="9">
        <f>C10+C11+C12+C15+C18+C21</f>
        <v>186326.66</v>
      </c>
      <c r="D28" s="9">
        <f t="shared" ref="D28:J28" si="3">D10+D11+D12+D15+D18+D21</f>
        <v>1203376.3799999999</v>
      </c>
      <c r="E28" s="9">
        <f t="shared" si="3"/>
        <v>171429.19</v>
      </c>
      <c r="F28" s="9">
        <f t="shared" si="3"/>
        <v>1097940.8600000001</v>
      </c>
      <c r="G28" s="9">
        <f t="shared" si="3"/>
        <v>-14897.469999999998</v>
      </c>
      <c r="H28" s="9">
        <f t="shared" si="3"/>
        <v>-105435.51999999987</v>
      </c>
      <c r="I28" s="9">
        <f t="shared" si="3"/>
        <v>0</v>
      </c>
      <c r="J28" s="9">
        <f t="shared" si="3"/>
        <v>0</v>
      </c>
    </row>
    <row r="29" spans="1:12">
      <c r="B29" s="1" t="s">
        <v>36</v>
      </c>
      <c r="C29" s="9">
        <f>C16</f>
        <v>5180.72</v>
      </c>
      <c r="D29" s="9">
        <f t="shared" ref="D29:J29" si="4">D16</f>
        <v>47680.75</v>
      </c>
      <c r="E29" s="9">
        <f t="shared" si="4"/>
        <v>6526.8899999999994</v>
      </c>
      <c r="F29" s="9">
        <f t="shared" si="4"/>
        <v>46787.54</v>
      </c>
      <c r="G29" s="9">
        <f t="shared" si="4"/>
        <v>1346.1699999999992</v>
      </c>
      <c r="H29" s="9">
        <f t="shared" si="4"/>
        <v>-893.20999999999913</v>
      </c>
      <c r="I29" s="9">
        <f t="shared" si="4"/>
        <v>0</v>
      </c>
      <c r="J29" s="9">
        <f t="shared" si="4"/>
        <v>0</v>
      </c>
    </row>
    <row r="30" spans="1:12">
      <c r="B30" s="1" t="s">
        <v>37</v>
      </c>
      <c r="C30" s="9">
        <f>C4+C5+C19+C20</f>
        <v>164397.01</v>
      </c>
      <c r="D30" s="9">
        <f t="shared" ref="D30:J30" si="5">D4+D5+D19+D20</f>
        <v>2541446.4000000004</v>
      </c>
      <c r="E30" s="9">
        <f t="shared" si="5"/>
        <v>232837.28</v>
      </c>
      <c r="F30" s="9">
        <f t="shared" si="5"/>
        <v>2658426.86</v>
      </c>
      <c r="G30" s="9">
        <f t="shared" si="5"/>
        <v>68440.27</v>
      </c>
      <c r="H30" s="9">
        <f t="shared" si="5"/>
        <v>116980.45999999996</v>
      </c>
      <c r="I30" s="9">
        <f t="shared" si="5"/>
        <v>0</v>
      </c>
      <c r="J30" s="9">
        <f t="shared" si="5"/>
        <v>0</v>
      </c>
    </row>
    <row r="33" spans="3:6">
      <c r="C33">
        <f>97659.35+445043.78</f>
        <v>542703.13</v>
      </c>
      <c r="E33">
        <f>167221.94+434138.03</f>
        <v>601359.97</v>
      </c>
    </row>
    <row r="35" spans="3:6">
      <c r="E35" s="11"/>
      <c r="F35" s="11"/>
    </row>
  </sheetData>
  <phoneticPr fontId="0" type="noConversion"/>
  <pageMargins left="0.75" right="0.75" top="1" bottom="1" header="0.5" footer="0.5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37"/>
  <sheetViews>
    <sheetView workbookViewId="0">
      <selection activeCell="D1" sqref="D1"/>
    </sheetView>
  </sheetViews>
  <sheetFormatPr defaultRowHeight="12.75"/>
  <cols>
    <col min="1" max="1" width="4.28515625" customWidth="1"/>
    <col min="2" max="2" width="30.28515625" customWidth="1"/>
    <col min="3" max="3" width="13.28515625" customWidth="1"/>
    <col min="4" max="4" width="13" customWidth="1"/>
    <col min="5" max="5" width="10.140625" bestFit="1" customWidth="1"/>
    <col min="6" max="6" width="12.140625" customWidth="1"/>
    <col min="7" max="7" width="10.7109375" customWidth="1"/>
    <col min="8" max="8" width="11.42578125" customWidth="1"/>
    <col min="9" max="9" width="10.5703125" customWidth="1"/>
    <col min="10" max="10" width="11.7109375" customWidth="1"/>
    <col min="11" max="11" width="10.140625" bestFit="1" customWidth="1"/>
    <col min="12" max="12" width="11.85546875" customWidth="1"/>
    <col min="13" max="13" width="10.140625" bestFit="1" customWidth="1"/>
  </cols>
  <sheetData>
    <row r="1" spans="1:13" ht="24" customHeight="1">
      <c r="B1" s="11" t="s">
        <v>18</v>
      </c>
      <c r="D1" s="11" t="s">
        <v>48</v>
      </c>
      <c r="E1" s="11"/>
    </row>
    <row r="2" spans="1:13" s="33" customFormat="1" ht="38.25">
      <c r="A2" s="27" t="s">
        <v>0</v>
      </c>
      <c r="B2" s="28" t="s">
        <v>1</v>
      </c>
      <c r="C2" s="29" t="s">
        <v>2</v>
      </c>
      <c r="D2" s="30" t="s">
        <v>3</v>
      </c>
      <c r="E2" s="31" t="s">
        <v>4</v>
      </c>
      <c r="F2" s="30" t="s">
        <v>5</v>
      </c>
      <c r="G2" s="30" t="s">
        <v>6</v>
      </c>
      <c r="H2" s="32" t="s">
        <v>7</v>
      </c>
      <c r="I2" s="31" t="s">
        <v>8</v>
      </c>
      <c r="J2" s="32" t="s">
        <v>9</v>
      </c>
      <c r="K2" s="28" t="s">
        <v>10</v>
      </c>
      <c r="L2" s="30" t="s">
        <v>11</v>
      </c>
    </row>
    <row r="3" spans="1:13">
      <c r="A3" s="1">
        <v>1</v>
      </c>
      <c r="B3" s="34" t="str">
        <f>июль!B3</f>
        <v>Содержание общ.имущ.дома</v>
      </c>
      <c r="C3" s="8">
        <f>13308.09+66704.29</f>
        <v>80012.37999999999</v>
      </c>
      <c r="D3" s="18">
        <f>C3+июль!D3</f>
        <v>611832.5</v>
      </c>
      <c r="E3" s="9">
        <f>14614.57+71005.03</f>
        <v>85619.6</v>
      </c>
      <c r="F3" s="18">
        <f>E3+июль!F3</f>
        <v>580919.84000000008</v>
      </c>
      <c r="G3" s="18">
        <f>E3-C3</f>
        <v>5607.2200000000157</v>
      </c>
      <c r="H3" s="19">
        <f>F3-D3</f>
        <v>-30912.659999999916</v>
      </c>
      <c r="I3" s="9"/>
      <c r="J3" s="19">
        <f>I3+июль!J3</f>
        <v>0</v>
      </c>
      <c r="K3" s="8"/>
      <c r="L3" s="18">
        <f>K3+июль!L3</f>
        <v>0</v>
      </c>
    </row>
    <row r="4" spans="1:13">
      <c r="A4" s="1">
        <f>A3+1</f>
        <v>2</v>
      </c>
      <c r="B4" s="34" t="str">
        <f>июль!B4</f>
        <v>Отопление</v>
      </c>
      <c r="C4" s="8">
        <f>0</f>
        <v>0</v>
      </c>
      <c r="D4" s="18">
        <f>C4+июль!D4</f>
        <v>1396205.97</v>
      </c>
      <c r="E4" s="9">
        <f>6631.87+44148.84</f>
        <v>50780.71</v>
      </c>
      <c r="F4" s="18">
        <f>E4+июль!F4</f>
        <v>1650415.2699999998</v>
      </c>
      <c r="G4" s="18">
        <f t="shared" ref="G4:H22" si="0">E4-C4</f>
        <v>50780.71</v>
      </c>
      <c r="H4" s="19">
        <f t="shared" si="0"/>
        <v>254209.29999999981</v>
      </c>
      <c r="I4" s="9"/>
      <c r="J4" s="19">
        <f>I4+июль!J4</f>
        <v>0</v>
      </c>
      <c r="K4" s="8"/>
      <c r="L4" s="18">
        <f>K4+июль!L4</f>
        <v>0</v>
      </c>
      <c r="M4" s="24">
        <f>L4-J4</f>
        <v>0</v>
      </c>
    </row>
    <row r="5" spans="1:13">
      <c r="A5" s="1">
        <f t="shared" ref="A5:A22" si="1">A4+1</f>
        <v>3</v>
      </c>
      <c r="B5" s="42" t="str">
        <f>июль!B5</f>
        <v>Горячее водоснабжение</v>
      </c>
      <c r="C5" s="8">
        <f>30488.54+129080.29</f>
        <v>159568.82999999999</v>
      </c>
      <c r="D5" s="18">
        <f>C5+июль!D5</f>
        <v>1269937.81</v>
      </c>
      <c r="E5" s="9">
        <f>30546.15+135311.11</f>
        <v>165857.25999999998</v>
      </c>
      <c r="F5" s="18">
        <f>E5+июль!F5</f>
        <v>1190602.6000000001</v>
      </c>
      <c r="G5" s="18">
        <f t="shared" si="0"/>
        <v>6288.429999999993</v>
      </c>
      <c r="H5" s="19">
        <f t="shared" si="0"/>
        <v>-79335.209999999963</v>
      </c>
      <c r="I5" s="9"/>
      <c r="J5" s="19">
        <f>I5+июль!J5</f>
        <v>0</v>
      </c>
      <c r="K5" s="8"/>
      <c r="L5" s="18">
        <f>K5+июль!L5</f>
        <v>0</v>
      </c>
    </row>
    <row r="6" spans="1:13">
      <c r="A6" s="1">
        <f t="shared" si="1"/>
        <v>4</v>
      </c>
      <c r="B6" s="34" t="str">
        <f>июль!B6</f>
        <v>Сод.и ремонт АППЗ</v>
      </c>
      <c r="C6" s="8">
        <f>469.6+2353.62</f>
        <v>2823.22</v>
      </c>
      <c r="D6" s="18">
        <f>C6+июль!D6</f>
        <v>22390.29</v>
      </c>
      <c r="E6" s="9">
        <f>521.68+2535.38</f>
        <v>3057.06</v>
      </c>
      <c r="F6" s="18">
        <f>E6+июль!F6</f>
        <v>21512.36</v>
      </c>
      <c r="G6" s="18">
        <f t="shared" si="0"/>
        <v>233.84000000000015</v>
      </c>
      <c r="H6" s="19">
        <f t="shared" si="0"/>
        <v>-877.93000000000029</v>
      </c>
      <c r="I6" s="9"/>
      <c r="J6" s="19">
        <f>I6+июль!J6</f>
        <v>0</v>
      </c>
      <c r="K6" s="8"/>
      <c r="L6" s="18">
        <f>K6+июль!L6</f>
        <v>0</v>
      </c>
    </row>
    <row r="7" spans="1:13">
      <c r="A7" s="1">
        <f t="shared" si="1"/>
        <v>5</v>
      </c>
      <c r="B7" s="34" t="str">
        <f>июль!B7</f>
        <v>Сод.и ремонт лифтов</v>
      </c>
      <c r="C7" s="8">
        <f>3148.28+15577.77</f>
        <v>18726.05</v>
      </c>
      <c r="D7" s="18">
        <f>C7+июль!D7</f>
        <v>148430.26</v>
      </c>
      <c r="E7" s="9">
        <f>3528.99+17049.11</f>
        <v>20578.099999999999</v>
      </c>
      <c r="F7" s="18">
        <f>E7+июль!F7</f>
        <v>144433.79</v>
      </c>
      <c r="G7" s="18">
        <f t="shared" si="0"/>
        <v>1852.0499999999993</v>
      </c>
      <c r="H7" s="19">
        <f t="shared" si="0"/>
        <v>-3996.4700000000012</v>
      </c>
      <c r="I7" s="9"/>
      <c r="J7" s="19">
        <f>I7+июль!J7</f>
        <v>0</v>
      </c>
      <c r="K7" s="8"/>
      <c r="L7" s="18">
        <f>K7+июль!L7</f>
        <v>0</v>
      </c>
    </row>
    <row r="8" spans="1:13" ht="12.75" customHeight="1">
      <c r="A8" s="1">
        <f t="shared" si="1"/>
        <v>6</v>
      </c>
      <c r="B8" s="34" t="str">
        <f>июль!B8</f>
        <v>Очистка мусоропроводов</v>
      </c>
      <c r="C8" s="8">
        <f>1696.86+8147.62</f>
        <v>9844.48</v>
      </c>
      <c r="D8" s="18">
        <f>C8+июль!D8</f>
        <v>71874.73</v>
      </c>
      <c r="E8" s="9">
        <f>1840.61+8692.22</f>
        <v>10532.83</v>
      </c>
      <c r="F8" s="18">
        <f>E8+июль!F8</f>
        <v>68030.17</v>
      </c>
      <c r="G8" s="18">
        <f t="shared" si="0"/>
        <v>688.35000000000036</v>
      </c>
      <c r="H8" s="19">
        <f t="shared" si="0"/>
        <v>-3844.5599999999977</v>
      </c>
      <c r="I8" s="9"/>
      <c r="J8" s="19">
        <f>I8+июль!J8</f>
        <v>0</v>
      </c>
      <c r="K8" s="8"/>
      <c r="L8" s="18">
        <f>K8+июль!L8</f>
        <v>0</v>
      </c>
    </row>
    <row r="9" spans="1:13" ht="14.25" customHeight="1">
      <c r="A9" s="1">
        <f t="shared" si="1"/>
        <v>7</v>
      </c>
      <c r="B9" s="34" t="str">
        <f>июль!B9</f>
        <v>Уборка и сан.очистка зем.уч.</v>
      </c>
      <c r="C9" s="8">
        <f>2006.36+10056.42</f>
        <v>12062.78</v>
      </c>
      <c r="D9" s="18">
        <f>C9+июль!D9</f>
        <v>93870.49</v>
      </c>
      <c r="E9" s="9">
        <f>2207.3+10735.94</f>
        <v>12943.240000000002</v>
      </c>
      <c r="F9" s="18">
        <f>E9+июль!F9</f>
        <v>88873.349999999991</v>
      </c>
      <c r="G9" s="18">
        <f t="shared" si="0"/>
        <v>880.46000000000095</v>
      </c>
      <c r="H9" s="19">
        <f t="shared" si="0"/>
        <v>-4997.140000000014</v>
      </c>
      <c r="I9" s="9"/>
      <c r="J9" s="19">
        <f>I9+июль!J9</f>
        <v>0</v>
      </c>
      <c r="K9" s="8"/>
      <c r="L9" s="18">
        <f>K9+июль!L9</f>
        <v>0</v>
      </c>
    </row>
    <row r="10" spans="1:13">
      <c r="A10" s="1">
        <f t="shared" si="1"/>
        <v>8</v>
      </c>
      <c r="B10" s="34" t="str">
        <f>июль!B10</f>
        <v>Холодная вода</v>
      </c>
      <c r="C10" s="8">
        <f>12488.19+52493.52</f>
        <v>64981.71</v>
      </c>
      <c r="D10" s="18">
        <f>C10+июль!D10</f>
        <v>503977.63999999996</v>
      </c>
      <c r="E10" s="9">
        <f>12344.03+55461.43</f>
        <v>67805.460000000006</v>
      </c>
      <c r="F10" s="18">
        <f>E10+июль!F10</f>
        <v>466369.17000000004</v>
      </c>
      <c r="G10" s="18">
        <f t="shared" si="0"/>
        <v>2823.7500000000073</v>
      </c>
      <c r="H10" s="19">
        <f t="shared" si="0"/>
        <v>-37608.469999999914</v>
      </c>
      <c r="I10" s="9"/>
      <c r="J10" s="19">
        <f>I10+июль!J10</f>
        <v>0</v>
      </c>
      <c r="K10" s="8"/>
      <c r="L10" s="18">
        <f>K10+июль!L10</f>
        <v>0</v>
      </c>
    </row>
    <row r="11" spans="1:13">
      <c r="A11" s="1">
        <f t="shared" si="1"/>
        <v>9</v>
      </c>
      <c r="B11" s="42" t="str">
        <f>июль!B11</f>
        <v>Канализир.х.воды</v>
      </c>
      <c r="C11" s="8">
        <v>0</v>
      </c>
      <c r="D11" s="18">
        <f>C11+июль!D11</f>
        <v>0</v>
      </c>
      <c r="E11" s="9">
        <v>0</v>
      </c>
      <c r="F11" s="18">
        <f>E11+июль!F11</f>
        <v>1646.1499999999999</v>
      </c>
      <c r="G11" s="18">
        <f t="shared" si="0"/>
        <v>0</v>
      </c>
      <c r="H11" s="19">
        <f t="shared" si="0"/>
        <v>1646.1499999999999</v>
      </c>
      <c r="I11" s="9"/>
      <c r="J11" s="19">
        <f>I11+июль!J11</f>
        <v>0</v>
      </c>
      <c r="K11" s="8"/>
      <c r="L11" s="18">
        <f>K11+июль!L11</f>
        <v>0</v>
      </c>
    </row>
    <row r="12" spans="1:13">
      <c r="A12" s="1">
        <f t="shared" si="1"/>
        <v>10</v>
      </c>
      <c r="B12" s="34" t="str">
        <f>июль!B12</f>
        <v>Канализир.г.воды</v>
      </c>
      <c r="C12" s="8">
        <v>0</v>
      </c>
      <c r="D12" s="18">
        <f>C12+июль!D12</f>
        <v>0</v>
      </c>
      <c r="E12" s="9">
        <v>0</v>
      </c>
      <c r="F12" s="18">
        <f>E12+июль!F12</f>
        <v>1122.05</v>
      </c>
      <c r="G12" s="18">
        <f t="shared" si="0"/>
        <v>0</v>
      </c>
      <c r="H12" s="19">
        <f t="shared" si="0"/>
        <v>1122.05</v>
      </c>
      <c r="I12" s="9"/>
      <c r="J12" s="19">
        <f>I12+июль!J12</f>
        <v>0</v>
      </c>
      <c r="K12" s="8"/>
      <c r="L12" s="18">
        <f>K12+июль!L12</f>
        <v>0</v>
      </c>
    </row>
    <row r="13" spans="1:13">
      <c r="A13" s="1">
        <f t="shared" si="1"/>
        <v>11</v>
      </c>
      <c r="B13" s="34" t="str">
        <f>июль!B13</f>
        <v>Тек.рем.общ.имущ.дома</v>
      </c>
      <c r="C13" s="8">
        <f>6627.38+33218.4</f>
        <v>39845.78</v>
      </c>
      <c r="D13" s="18">
        <f>C13+июль!D13</f>
        <v>316120.91000000003</v>
      </c>
      <c r="E13" s="9">
        <f>7345.74+35745.91</f>
        <v>43091.65</v>
      </c>
      <c r="F13" s="18">
        <f>E13+июль!F13</f>
        <v>303303.39</v>
      </c>
      <c r="G13" s="18">
        <f t="shared" si="0"/>
        <v>3245.8700000000026</v>
      </c>
      <c r="H13" s="19">
        <f t="shared" si="0"/>
        <v>-12817.520000000019</v>
      </c>
      <c r="I13" s="9"/>
      <c r="J13" s="19">
        <f>I13+июль!J13</f>
        <v>0</v>
      </c>
      <c r="K13" s="8"/>
      <c r="L13" s="18">
        <f>K13+июль!L13</f>
        <v>0</v>
      </c>
    </row>
    <row r="14" spans="1:13" ht="13.5" customHeight="1">
      <c r="A14" s="1">
        <f t="shared" si="1"/>
        <v>12</v>
      </c>
      <c r="B14" s="34" t="str">
        <f>июль!B14</f>
        <v>Управление многокв.домом</v>
      </c>
      <c r="C14" s="8">
        <f>3201.63+16047.54</f>
        <v>19249.170000000002</v>
      </c>
      <c r="D14" s="18">
        <f>C14+июль!D14</f>
        <v>136222.09999999998</v>
      </c>
      <c r="E14" s="9">
        <f>3430.39+16693.01</f>
        <v>20123.399999999998</v>
      </c>
      <c r="F14" s="18">
        <f>E14+июль!F14</f>
        <v>126637.04000000001</v>
      </c>
      <c r="G14" s="18">
        <f t="shared" si="0"/>
        <v>874.22999999999593</v>
      </c>
      <c r="H14" s="19">
        <f t="shared" si="0"/>
        <v>-9585.0599999999686</v>
      </c>
      <c r="I14" s="9"/>
      <c r="J14" s="19">
        <f>I14+июль!J14</f>
        <v>0</v>
      </c>
      <c r="K14" s="8"/>
      <c r="L14" s="18">
        <f>K14+июль!L14</f>
        <v>0</v>
      </c>
    </row>
    <row r="15" spans="1:13">
      <c r="A15" s="1">
        <f t="shared" si="1"/>
        <v>13</v>
      </c>
      <c r="B15" s="34" t="str">
        <f>июль!B15</f>
        <v>Водоотведение(кв)</v>
      </c>
      <c r="C15" s="8">
        <f>21246.18+89572.34</f>
        <v>110818.51999999999</v>
      </c>
      <c r="D15" s="18">
        <f>C15+июль!D15</f>
        <v>859991.1</v>
      </c>
      <c r="E15" s="9">
        <f>21113.62+93975.73</f>
        <v>115089.34999999999</v>
      </c>
      <c r="F15" s="18">
        <f>E15+июль!F15</f>
        <v>796793.34</v>
      </c>
      <c r="G15" s="18">
        <f t="shared" si="0"/>
        <v>4270.8300000000017</v>
      </c>
      <c r="H15" s="19">
        <f t="shared" si="0"/>
        <v>-63197.760000000009</v>
      </c>
      <c r="I15" s="9"/>
      <c r="J15" s="19">
        <f>I15+июль!J15</f>
        <v>0</v>
      </c>
      <c r="K15" s="8"/>
      <c r="L15" s="18">
        <f>K15+июль!L15</f>
        <v>0</v>
      </c>
    </row>
    <row r="16" spans="1:13" ht="15" customHeight="1">
      <c r="A16" s="1">
        <f t="shared" si="1"/>
        <v>14</v>
      </c>
      <c r="B16" s="34" t="str">
        <f>июль!B16</f>
        <v>Электроснабж.на общед.нужды</v>
      </c>
      <c r="C16" s="8">
        <f>934.07+4681.33</f>
        <v>5615.4</v>
      </c>
      <c r="D16" s="18">
        <f>C16+июль!D16</f>
        <v>53296.15</v>
      </c>
      <c r="E16" s="9">
        <f>920.59+4776.91</f>
        <v>5697.5</v>
      </c>
      <c r="F16" s="18">
        <f>E16+июль!F16</f>
        <v>52485.04</v>
      </c>
      <c r="G16" s="18">
        <f t="shared" si="0"/>
        <v>82.100000000000364</v>
      </c>
      <c r="H16" s="19">
        <f t="shared" si="0"/>
        <v>-811.11000000000058</v>
      </c>
      <c r="I16" s="9"/>
      <c r="J16" s="19">
        <f>I16+июль!J16</f>
        <v>0</v>
      </c>
      <c r="K16" s="8"/>
      <c r="L16" s="18">
        <f>K16+июль!L16</f>
        <v>0</v>
      </c>
    </row>
    <row r="17" spans="1:12" ht="15" customHeight="1">
      <c r="A17" s="1">
        <f t="shared" si="1"/>
        <v>15</v>
      </c>
      <c r="B17" s="34" t="str">
        <f>июль!B17</f>
        <v>Эксплуатация общедом.ПУ</v>
      </c>
      <c r="C17" s="8">
        <f>703.34+3530.54</f>
        <v>4233.88</v>
      </c>
      <c r="D17" s="18">
        <f>C17+июль!D17</f>
        <v>35003.840000000004</v>
      </c>
      <c r="E17" s="9">
        <f>786.4+3799.18</f>
        <v>4585.58</v>
      </c>
      <c r="F17" s="18">
        <f>E17+июль!F17</f>
        <v>35437.719999999994</v>
      </c>
      <c r="G17" s="18">
        <f t="shared" si="0"/>
        <v>351.69999999999982</v>
      </c>
      <c r="H17" s="19">
        <f t="shared" si="0"/>
        <v>433.8799999999901</v>
      </c>
      <c r="I17" s="9"/>
      <c r="J17" s="19">
        <f>I17+июль!J17</f>
        <v>0</v>
      </c>
      <c r="K17" s="8"/>
      <c r="L17" s="18">
        <f>K17+июль!L17</f>
        <v>0</v>
      </c>
    </row>
    <row r="18" spans="1:12" ht="15.75" customHeight="1">
      <c r="A18" s="1">
        <f t="shared" si="1"/>
        <v>16</v>
      </c>
      <c r="B18" s="34" t="str">
        <f>июль!B18</f>
        <v>Водоотведение(о/д нужды)</v>
      </c>
      <c r="C18" s="8">
        <v>0</v>
      </c>
      <c r="D18" s="18">
        <f>C18+июль!D18</f>
        <v>0</v>
      </c>
      <c r="E18" s="9">
        <v>0</v>
      </c>
      <c r="F18" s="18">
        <f>E18+июль!F18</f>
        <v>19.850000000000001</v>
      </c>
      <c r="G18" s="18">
        <f t="shared" si="0"/>
        <v>0</v>
      </c>
      <c r="H18" s="19">
        <f t="shared" si="0"/>
        <v>19.850000000000001</v>
      </c>
      <c r="I18" s="9"/>
      <c r="J18" s="19">
        <f>I18+июль!J18</f>
        <v>0</v>
      </c>
      <c r="K18" s="8"/>
      <c r="L18" s="18">
        <f>K18+июль!L18</f>
        <v>0</v>
      </c>
    </row>
    <row r="19" spans="1:12">
      <c r="A19" s="1">
        <f t="shared" si="1"/>
        <v>17</v>
      </c>
      <c r="B19" s="34" t="str">
        <f>июль!B19</f>
        <v>Отопление (о/д нужды)</v>
      </c>
      <c r="C19" s="8">
        <v>0</v>
      </c>
      <c r="D19" s="18">
        <f>C19+июль!D19</f>
        <v>0</v>
      </c>
      <c r="E19" s="9">
        <v>8.93</v>
      </c>
      <c r="F19" s="18">
        <f>E19+июль!F19</f>
        <v>535.78</v>
      </c>
      <c r="G19" s="18">
        <f t="shared" si="0"/>
        <v>8.93</v>
      </c>
      <c r="H19" s="19">
        <f t="shared" si="0"/>
        <v>535.78</v>
      </c>
      <c r="I19" s="9"/>
      <c r="J19" s="19">
        <f>I19+июль!J19</f>
        <v>0</v>
      </c>
      <c r="K19" s="8"/>
      <c r="L19" s="18">
        <f>K19+июль!L19</f>
        <v>0</v>
      </c>
    </row>
    <row r="20" spans="1:12" ht="15.75" customHeight="1">
      <c r="A20" s="1">
        <f t="shared" si="1"/>
        <v>18</v>
      </c>
      <c r="B20" s="34" t="str">
        <f>июль!B20</f>
        <v>Гор.водоснабж.(о/д нужды)</v>
      </c>
      <c r="C20" s="8">
        <f>830.69+4171.35+182.27</f>
        <v>5184.3100000000013</v>
      </c>
      <c r="D20" s="18">
        <f>C20+июль!D20</f>
        <v>40055.759999999995</v>
      </c>
      <c r="E20" s="9">
        <f>911.074+4466.27+715.04</f>
        <v>6092.384</v>
      </c>
      <c r="F20" s="18">
        <f>E20+июль!F20</f>
        <v>39612.493999999999</v>
      </c>
      <c r="G20" s="18">
        <f t="shared" si="0"/>
        <v>908.0739999999987</v>
      </c>
      <c r="H20" s="19">
        <f t="shared" si="0"/>
        <v>-443.26599999999598</v>
      </c>
      <c r="I20" s="9"/>
      <c r="J20" s="19">
        <f>I20+июль!J20</f>
        <v>0</v>
      </c>
      <c r="K20" s="8"/>
      <c r="L20" s="18">
        <f>K20+июль!L20</f>
        <v>0</v>
      </c>
    </row>
    <row r="21" spans="1:12" ht="13.5" customHeight="1">
      <c r="A21" s="1">
        <f t="shared" si="1"/>
        <v>19</v>
      </c>
      <c r="B21" s="34" t="str">
        <f>июль!B21</f>
        <v>Холодн водосн о/д нужды</v>
      </c>
      <c r="C21" s="8">
        <f>385.4+1934.25</f>
        <v>2319.65</v>
      </c>
      <c r="D21" s="18">
        <f>C21+июль!D21</f>
        <v>17527.52</v>
      </c>
      <c r="E21" s="9">
        <f>416.36+2061.9</f>
        <v>2478.2600000000002</v>
      </c>
      <c r="F21" s="18">
        <f>E21+июль!F21</f>
        <v>17363.37</v>
      </c>
      <c r="G21" s="18">
        <f t="shared" si="0"/>
        <v>158.61000000000013</v>
      </c>
      <c r="H21" s="19">
        <f t="shared" si="0"/>
        <v>-164.15000000000146</v>
      </c>
      <c r="I21" s="9"/>
      <c r="J21" s="19">
        <f>I21+июль!J21</f>
        <v>0</v>
      </c>
      <c r="K21" s="8"/>
      <c r="L21" s="18">
        <f>K21+июль!L21</f>
        <v>0</v>
      </c>
    </row>
    <row r="22" spans="1:12">
      <c r="A22" s="1">
        <f t="shared" si="1"/>
        <v>20</v>
      </c>
      <c r="B22" s="34">
        <f>июль!B22</f>
        <v>0</v>
      </c>
      <c r="C22" s="8">
        <v>0</v>
      </c>
      <c r="D22" s="18">
        <f>C22+июль!D22</f>
        <v>0</v>
      </c>
      <c r="E22" s="9">
        <v>0</v>
      </c>
      <c r="F22" s="18">
        <f>E22+июль!F22</f>
        <v>0</v>
      </c>
      <c r="G22" s="18">
        <f t="shared" si="0"/>
        <v>0</v>
      </c>
      <c r="H22" s="19">
        <f t="shared" si="0"/>
        <v>0</v>
      </c>
      <c r="I22" s="9"/>
      <c r="J22" s="19">
        <f>I22+июль!J22</f>
        <v>0</v>
      </c>
      <c r="K22" s="8"/>
      <c r="L22" s="18">
        <f>K22+июль!L22</f>
        <v>0</v>
      </c>
    </row>
    <row r="23" spans="1:12">
      <c r="A23" s="21"/>
      <c r="B23" s="20" t="s">
        <v>12</v>
      </c>
      <c r="C23" s="22">
        <f t="shared" ref="C23:L23" si="2">SUM(C3:C22)</f>
        <v>535286.16</v>
      </c>
      <c r="D23" s="18">
        <f t="shared" si="2"/>
        <v>5576737.0699999994</v>
      </c>
      <c r="E23" s="23">
        <f t="shared" si="2"/>
        <v>614341.31400000001</v>
      </c>
      <c r="F23" s="18">
        <f t="shared" si="2"/>
        <v>5586112.7739999993</v>
      </c>
      <c r="G23" s="18">
        <f t="shared" si="2"/>
        <v>79055.15400000001</v>
      </c>
      <c r="H23" s="19">
        <f t="shared" si="2"/>
        <v>9375.7040000000088</v>
      </c>
      <c r="I23" s="19">
        <f t="shared" si="2"/>
        <v>0</v>
      </c>
      <c r="J23" s="19">
        <f t="shared" si="2"/>
        <v>0</v>
      </c>
      <c r="K23" s="18">
        <f t="shared" si="2"/>
        <v>0</v>
      </c>
      <c r="L23" s="18">
        <f t="shared" si="2"/>
        <v>0</v>
      </c>
    </row>
    <row r="25" spans="1:12" ht="2.25" customHeight="1"/>
    <row r="26" spans="1:12" hidden="1"/>
    <row r="27" spans="1:12" hidden="1"/>
    <row r="28" spans="1:12">
      <c r="B28" s="1" t="s">
        <v>35</v>
      </c>
      <c r="C28" s="9">
        <f>C10+C11+C12+C15+C18+C21</f>
        <v>178119.87999999998</v>
      </c>
      <c r="D28" s="9">
        <f t="shared" ref="D28:J28" si="3">D10+D11+D12+D15+D18+D21</f>
        <v>1381496.26</v>
      </c>
      <c r="E28" s="9">
        <f t="shared" si="3"/>
        <v>185373.07</v>
      </c>
      <c r="F28" s="9">
        <f t="shared" si="3"/>
        <v>1283313.9300000002</v>
      </c>
      <c r="G28" s="9">
        <f t="shared" si="3"/>
        <v>7253.1900000000096</v>
      </c>
      <c r="H28" s="9">
        <f t="shared" si="3"/>
        <v>-98182.3299999999</v>
      </c>
      <c r="I28" s="9">
        <f t="shared" si="3"/>
        <v>0</v>
      </c>
      <c r="J28" s="9">
        <f t="shared" si="3"/>
        <v>0</v>
      </c>
    </row>
    <row r="29" spans="1:12">
      <c r="B29" s="1" t="s">
        <v>36</v>
      </c>
      <c r="C29" s="9">
        <f>C16</f>
        <v>5615.4</v>
      </c>
      <c r="D29" s="9">
        <f t="shared" ref="D29:J29" si="4">D16</f>
        <v>53296.15</v>
      </c>
      <c r="E29" s="9">
        <f t="shared" si="4"/>
        <v>5697.5</v>
      </c>
      <c r="F29" s="9">
        <f t="shared" si="4"/>
        <v>52485.04</v>
      </c>
      <c r="G29" s="9">
        <f t="shared" si="4"/>
        <v>82.100000000000364</v>
      </c>
      <c r="H29" s="9">
        <f t="shared" si="4"/>
        <v>-811.11000000000058</v>
      </c>
      <c r="I29" s="9">
        <f t="shared" si="4"/>
        <v>0</v>
      </c>
      <c r="J29" s="9">
        <f t="shared" si="4"/>
        <v>0</v>
      </c>
    </row>
    <row r="30" spans="1:12">
      <c r="B30" s="1" t="s">
        <v>37</v>
      </c>
      <c r="C30" s="9">
        <f>C4+C5+C19+C20</f>
        <v>164753.13999999998</v>
      </c>
      <c r="D30" s="9">
        <f t="shared" ref="D30:J30" si="5">D4+D5+D19+D20</f>
        <v>2706199.54</v>
      </c>
      <c r="E30" s="9">
        <f t="shared" si="5"/>
        <v>222739.28399999996</v>
      </c>
      <c r="F30" s="9">
        <f t="shared" si="5"/>
        <v>2881166.1439999999</v>
      </c>
      <c r="G30" s="9">
        <f t="shared" si="5"/>
        <v>57986.143999999993</v>
      </c>
      <c r="H30" s="9">
        <f t="shared" si="5"/>
        <v>174966.60399999985</v>
      </c>
      <c r="I30" s="9">
        <f t="shared" si="5"/>
        <v>0</v>
      </c>
      <c r="J30" s="9">
        <f t="shared" si="5"/>
        <v>0</v>
      </c>
    </row>
    <row r="33" spans="3:7">
      <c r="C33">
        <f>97535.61+437751.55</f>
        <v>535287.16</v>
      </c>
      <c r="E33">
        <f>107168.3+507173.01</f>
        <v>614341.31000000006</v>
      </c>
    </row>
    <row r="36" spans="3:7">
      <c r="F36" s="11"/>
      <c r="G36" s="11"/>
    </row>
    <row r="37" spans="3:7">
      <c r="F37" s="11"/>
      <c r="G37" s="11"/>
    </row>
  </sheetData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M39"/>
  <sheetViews>
    <sheetView workbookViewId="0">
      <selection activeCell="G38" sqref="G38"/>
    </sheetView>
  </sheetViews>
  <sheetFormatPr defaultRowHeight="12.75"/>
  <cols>
    <col min="1" max="1" width="3.42578125" customWidth="1"/>
    <col min="2" max="2" width="29.28515625" customWidth="1"/>
    <col min="3" max="3" width="12.7109375" customWidth="1"/>
    <col min="4" max="4" width="15.140625" customWidth="1"/>
    <col min="5" max="5" width="14.140625" customWidth="1"/>
    <col min="6" max="6" width="11" customWidth="1"/>
    <col min="7" max="7" width="11.7109375" customWidth="1"/>
    <col min="8" max="8" width="14" customWidth="1"/>
    <col min="9" max="9" width="10.140625" bestFit="1" customWidth="1"/>
    <col min="10" max="10" width="11" customWidth="1"/>
    <col min="11" max="11" width="10.140625" bestFit="1" customWidth="1"/>
    <col min="12" max="12" width="11.28515625" customWidth="1"/>
    <col min="13" max="13" width="10.140625" bestFit="1" customWidth="1"/>
  </cols>
  <sheetData>
    <row r="1" spans="1:13" ht="17.25" customHeight="1">
      <c r="B1" s="11" t="s">
        <v>39</v>
      </c>
      <c r="E1" s="11" t="s">
        <v>47</v>
      </c>
    </row>
    <row r="2" spans="1:13" s="33" customFormat="1" ht="25.5">
      <c r="A2" s="27" t="s">
        <v>0</v>
      </c>
      <c r="B2" s="28" t="s">
        <v>1</v>
      </c>
      <c r="C2" s="29" t="s">
        <v>2</v>
      </c>
      <c r="D2" s="30" t="s">
        <v>3</v>
      </c>
      <c r="E2" s="31" t="s">
        <v>4</v>
      </c>
      <c r="F2" s="30" t="s">
        <v>5</v>
      </c>
      <c r="G2" s="30" t="s">
        <v>6</v>
      </c>
      <c r="H2" s="32" t="s">
        <v>7</v>
      </c>
      <c r="I2" s="31" t="s">
        <v>8</v>
      </c>
      <c r="J2" s="32" t="s">
        <v>9</v>
      </c>
      <c r="K2" s="28" t="s">
        <v>10</v>
      </c>
      <c r="L2" s="30" t="s">
        <v>11</v>
      </c>
    </row>
    <row r="3" spans="1:13">
      <c r="A3" s="1">
        <v>1</v>
      </c>
      <c r="B3" s="34" t="str">
        <f>август!B3</f>
        <v>Содержание общ.имущ.дома</v>
      </c>
      <c r="C3" s="8">
        <f>13286.79+66597.42</f>
        <v>79884.209999999992</v>
      </c>
      <c r="D3" s="18">
        <f>C3+август!D3</f>
        <v>691716.71</v>
      </c>
      <c r="E3" s="9">
        <f>9713.85+78006.4</f>
        <v>87720.25</v>
      </c>
      <c r="F3" s="18">
        <f>E3+август!F3</f>
        <v>668640.09000000008</v>
      </c>
      <c r="G3" s="18">
        <f>E3-C3</f>
        <v>7836.0400000000081</v>
      </c>
      <c r="H3" s="19">
        <f>F3-D3</f>
        <v>-23076.619999999879</v>
      </c>
      <c r="I3" s="9"/>
      <c r="J3" s="19">
        <f>I3+август!J3</f>
        <v>0</v>
      </c>
      <c r="K3" s="8"/>
      <c r="L3" s="18">
        <f>K3+август!L3</f>
        <v>0</v>
      </c>
    </row>
    <row r="4" spans="1:13">
      <c r="A4" s="1">
        <f>A3+1</f>
        <v>2</v>
      </c>
      <c r="B4" s="34" t="str">
        <f>август!B4</f>
        <v>Отопление</v>
      </c>
      <c r="C4" s="8">
        <f>0</f>
        <v>0</v>
      </c>
      <c r="D4" s="18">
        <f>C4+август!D4</f>
        <v>1396205.97</v>
      </c>
      <c r="E4" s="9">
        <f>886.64+71900.57</f>
        <v>72787.210000000006</v>
      </c>
      <c r="F4" s="18">
        <f>E4+август!F4</f>
        <v>1723202.4799999997</v>
      </c>
      <c r="G4" s="18">
        <f t="shared" ref="G4:H22" si="0">E4-C4</f>
        <v>72787.210000000006</v>
      </c>
      <c r="H4" s="19">
        <f t="shared" si="0"/>
        <v>326996.50999999978</v>
      </c>
      <c r="I4" s="9"/>
      <c r="J4" s="19">
        <f>I4+август!J4</f>
        <v>0</v>
      </c>
      <c r="K4" s="8"/>
      <c r="L4" s="18">
        <f>K4+август!L4</f>
        <v>0</v>
      </c>
      <c r="M4" s="24">
        <f>L4-J4</f>
        <v>0</v>
      </c>
    </row>
    <row r="5" spans="1:13">
      <c r="A5" s="1">
        <f t="shared" ref="A5:A22" si="1">A4+1</f>
        <v>3</v>
      </c>
      <c r="B5" s="34" t="str">
        <f>август!B5</f>
        <v>Горячее водоснабжение</v>
      </c>
      <c r="C5" s="8">
        <f>30837.36+128529.56</f>
        <v>159366.91999999998</v>
      </c>
      <c r="D5" s="18">
        <f>C5+август!D5</f>
        <v>1429304.73</v>
      </c>
      <c r="E5" s="9">
        <f>23850.92+142971.38</f>
        <v>166822.29999999999</v>
      </c>
      <c r="F5" s="18">
        <f>E5+август!F5</f>
        <v>1357424.9000000001</v>
      </c>
      <c r="G5" s="18">
        <f t="shared" si="0"/>
        <v>7455.3800000000047</v>
      </c>
      <c r="H5" s="19">
        <f t="shared" si="0"/>
        <v>-71879.829999999842</v>
      </c>
      <c r="I5" s="9"/>
      <c r="J5" s="19">
        <f>I5+август!J5</f>
        <v>0</v>
      </c>
      <c r="K5" s="8"/>
      <c r="L5" s="18">
        <f>K5+август!L5</f>
        <v>0</v>
      </c>
    </row>
    <row r="6" spans="1:13">
      <c r="A6" s="1">
        <f t="shared" si="1"/>
        <v>4</v>
      </c>
      <c r="B6" s="34" t="str">
        <f>август!B6</f>
        <v>Сод.и ремонт АППЗ</v>
      </c>
      <c r="C6" s="8">
        <f>469.9+2353.62</f>
        <v>2823.52</v>
      </c>
      <c r="D6" s="18">
        <f>C6+август!D6</f>
        <v>25213.81</v>
      </c>
      <c r="E6" s="9">
        <f>343.56+2844.51</f>
        <v>3188.07</v>
      </c>
      <c r="F6" s="18">
        <f>E6+август!F6</f>
        <v>24700.43</v>
      </c>
      <c r="G6" s="18">
        <f t="shared" si="0"/>
        <v>364.55000000000018</v>
      </c>
      <c r="H6" s="19">
        <f t="shared" si="0"/>
        <v>-513.38000000000102</v>
      </c>
      <c r="I6" s="9"/>
      <c r="J6" s="19">
        <f>I6+август!J6</f>
        <v>0</v>
      </c>
      <c r="K6" s="8"/>
      <c r="L6" s="18">
        <f>K6+август!L6</f>
        <v>0</v>
      </c>
    </row>
    <row r="7" spans="1:13">
      <c r="A7" s="1">
        <f t="shared" si="1"/>
        <v>5</v>
      </c>
      <c r="B7" s="34" t="str">
        <f>август!B7</f>
        <v>Сод.и ремонт лифтов</v>
      </c>
      <c r="C7" s="8">
        <f>3148.28+15577.77</f>
        <v>18726.05</v>
      </c>
      <c r="D7" s="18">
        <f>C7+август!D7</f>
        <v>167156.31</v>
      </c>
      <c r="E7" s="9">
        <f>2303.29+19385.39</f>
        <v>21688.68</v>
      </c>
      <c r="F7" s="18">
        <f>E7+август!F7</f>
        <v>166122.47</v>
      </c>
      <c r="G7" s="18">
        <f t="shared" si="0"/>
        <v>2962.630000000001</v>
      </c>
      <c r="H7" s="19">
        <f t="shared" si="0"/>
        <v>-1033.8399999999965</v>
      </c>
      <c r="I7" s="9"/>
      <c r="J7" s="19">
        <f>I7+август!J7</f>
        <v>0</v>
      </c>
      <c r="K7" s="8"/>
      <c r="L7" s="18">
        <f>K7+август!L7</f>
        <v>0</v>
      </c>
    </row>
    <row r="8" spans="1:13">
      <c r="A8" s="1">
        <f t="shared" si="1"/>
        <v>6</v>
      </c>
      <c r="B8" s="34" t="str">
        <f>август!B8</f>
        <v>Очистка мусоропроводов</v>
      </c>
      <c r="C8" s="8">
        <f>1696.86+8147.62</f>
        <v>9844.48</v>
      </c>
      <c r="D8" s="18">
        <f>C8+август!D8</f>
        <v>81719.209999999992</v>
      </c>
      <c r="E8" s="9">
        <f>1237.75+9440.04</f>
        <v>10677.79</v>
      </c>
      <c r="F8" s="18">
        <f>E8+август!F8</f>
        <v>78707.959999999992</v>
      </c>
      <c r="G8" s="18">
        <f t="shared" si="0"/>
        <v>833.31000000000131</v>
      </c>
      <c r="H8" s="19">
        <f t="shared" si="0"/>
        <v>-3011.25</v>
      </c>
      <c r="I8" s="9"/>
      <c r="J8" s="19">
        <f>I8+август!J8</f>
        <v>0</v>
      </c>
      <c r="K8" s="8"/>
      <c r="L8" s="18">
        <f>K8+август!L8</f>
        <v>0</v>
      </c>
    </row>
    <row r="9" spans="1:13" ht="15" customHeight="1">
      <c r="A9" s="1">
        <f t="shared" si="1"/>
        <v>7</v>
      </c>
      <c r="B9" s="34" t="str">
        <f>август!B9</f>
        <v>Уборка и сан.очистка зем.уч.</v>
      </c>
      <c r="C9" s="8">
        <f>2006.36+10056.43</f>
        <v>12062.79</v>
      </c>
      <c r="D9" s="18">
        <f>C9+август!D9</f>
        <v>105933.28</v>
      </c>
      <c r="E9" s="9">
        <f>1466.75+11717.7</f>
        <v>13184.45</v>
      </c>
      <c r="F9" s="18">
        <f>E9+август!F9</f>
        <v>102057.79999999999</v>
      </c>
      <c r="G9" s="18">
        <f t="shared" si="0"/>
        <v>1121.6599999999999</v>
      </c>
      <c r="H9" s="19">
        <f t="shared" si="0"/>
        <v>-3875.4800000000105</v>
      </c>
      <c r="I9" s="9"/>
      <c r="J9" s="19">
        <f>I9+август!J9</f>
        <v>0</v>
      </c>
      <c r="K9" s="8"/>
      <c r="L9" s="18">
        <f>K9+август!L9</f>
        <v>0</v>
      </c>
    </row>
    <row r="10" spans="1:13">
      <c r="A10" s="1">
        <f t="shared" si="1"/>
        <v>8</v>
      </c>
      <c r="B10" s="34" t="str">
        <f>август!B10</f>
        <v>Холодная вода</v>
      </c>
      <c r="C10" s="8">
        <f>12622.09+51621.07</f>
        <v>64243.16</v>
      </c>
      <c r="D10" s="18">
        <f>C10+август!D10</f>
        <v>568220.79999999993</v>
      </c>
      <c r="E10" s="9">
        <f>9701.65+56703.36</f>
        <v>66405.009999999995</v>
      </c>
      <c r="F10" s="18">
        <f>E10+август!F10</f>
        <v>532774.18000000005</v>
      </c>
      <c r="G10" s="18">
        <f t="shared" si="0"/>
        <v>2161.8499999999913</v>
      </c>
      <c r="H10" s="19">
        <f t="shared" si="0"/>
        <v>-35446.619999999879</v>
      </c>
      <c r="I10" s="9"/>
      <c r="J10" s="19">
        <f>I10+август!J10</f>
        <v>0</v>
      </c>
      <c r="K10" s="8"/>
      <c r="L10" s="18">
        <f>K10+август!L10</f>
        <v>0</v>
      </c>
    </row>
    <row r="11" spans="1:13">
      <c r="A11" s="1">
        <f t="shared" si="1"/>
        <v>9</v>
      </c>
      <c r="B11" s="34" t="str">
        <f>август!B11</f>
        <v>Канализир.х.воды</v>
      </c>
      <c r="C11" s="8">
        <v>0</v>
      </c>
      <c r="D11" s="18">
        <f>C11+август!D11</f>
        <v>0</v>
      </c>
      <c r="E11" s="9">
        <f>-223.01+85.41</f>
        <v>-137.6</v>
      </c>
      <c r="F11" s="18">
        <f>E11+август!F11</f>
        <v>1508.55</v>
      </c>
      <c r="G11" s="18">
        <f>E11-C11</f>
        <v>-137.6</v>
      </c>
      <c r="H11" s="19">
        <f t="shared" si="0"/>
        <v>1508.55</v>
      </c>
      <c r="I11" s="9"/>
      <c r="J11" s="19">
        <f>I11+август!J11</f>
        <v>0</v>
      </c>
      <c r="K11" s="8"/>
      <c r="L11" s="18">
        <f>K11+август!L11</f>
        <v>0</v>
      </c>
    </row>
    <row r="12" spans="1:13">
      <c r="A12" s="1">
        <f t="shared" si="1"/>
        <v>10</v>
      </c>
      <c r="B12" s="34" t="str">
        <f>август!B12</f>
        <v>Канализир.г.воды</v>
      </c>
      <c r="C12" s="8"/>
      <c r="D12" s="18">
        <f>C12+август!D12</f>
        <v>0</v>
      </c>
      <c r="E12" s="9">
        <f>-151.04+58.21</f>
        <v>-92.829999999999984</v>
      </c>
      <c r="F12" s="18">
        <f>E12+август!F12</f>
        <v>1029.22</v>
      </c>
      <c r="G12" s="18">
        <f t="shared" si="0"/>
        <v>-92.829999999999984</v>
      </c>
      <c r="H12" s="19">
        <f t="shared" si="0"/>
        <v>1029.22</v>
      </c>
      <c r="I12" s="9"/>
      <c r="J12" s="19">
        <f>I12+август!J12</f>
        <v>0</v>
      </c>
      <c r="K12" s="8"/>
      <c r="L12" s="18">
        <f>K12+август!L12</f>
        <v>0</v>
      </c>
    </row>
    <row r="13" spans="1:13">
      <c r="A13" s="1">
        <f t="shared" si="1"/>
        <v>11</v>
      </c>
      <c r="B13" s="34" t="str">
        <f>август!B13</f>
        <v>Тек.рем.общ.имущ.дома</v>
      </c>
      <c r="C13" s="8">
        <f>6627.38+33218.4</f>
        <v>39845.78</v>
      </c>
      <c r="D13" s="18">
        <f>C13+август!D13</f>
        <v>355966.69000000006</v>
      </c>
      <c r="E13" s="9">
        <f>4848.58+39840.5</f>
        <v>44689.08</v>
      </c>
      <c r="F13" s="18">
        <f>E13+август!F13</f>
        <v>347992.47000000003</v>
      </c>
      <c r="G13" s="18">
        <f t="shared" si="0"/>
        <v>4843.3000000000029</v>
      </c>
      <c r="H13" s="19">
        <f t="shared" si="0"/>
        <v>-7974.2200000000303</v>
      </c>
      <c r="I13" s="9"/>
      <c r="J13" s="19">
        <f>I13+август!J13</f>
        <v>0</v>
      </c>
      <c r="K13" s="8"/>
      <c r="L13" s="18">
        <f>K13+август!L13</f>
        <v>0</v>
      </c>
    </row>
    <row r="14" spans="1:13" ht="14.25" customHeight="1">
      <c r="A14" s="1">
        <f t="shared" si="1"/>
        <v>12</v>
      </c>
      <c r="B14" s="34" t="str">
        <f>август!B14</f>
        <v>Управление многокв.домом</v>
      </c>
      <c r="C14" s="8">
        <f>3201.63+16047.54</f>
        <v>19249.170000000002</v>
      </c>
      <c r="D14" s="18">
        <f>C14+август!D14</f>
        <v>155471.26999999999</v>
      </c>
      <c r="E14" s="9">
        <f>2333.04+17697.88</f>
        <v>20030.920000000002</v>
      </c>
      <c r="F14" s="18">
        <f>E14+август!F14</f>
        <v>146667.96000000002</v>
      </c>
      <c r="G14" s="18">
        <f t="shared" si="0"/>
        <v>781.75</v>
      </c>
      <c r="H14" s="19">
        <f t="shared" si="0"/>
        <v>-8803.3099999999686</v>
      </c>
      <c r="I14" s="9"/>
      <c r="J14" s="19">
        <f>I14+август!J14</f>
        <v>0</v>
      </c>
      <c r="K14" s="8"/>
      <c r="L14" s="18">
        <f>K14+август!L14</f>
        <v>0</v>
      </c>
    </row>
    <row r="15" spans="1:13">
      <c r="A15" s="1">
        <f t="shared" si="1"/>
        <v>13</v>
      </c>
      <c r="B15" s="34" t="str">
        <f>август!B15</f>
        <v>Водоотведение(кв)</v>
      </c>
      <c r="C15" s="8">
        <f>21480.28+88708.18</f>
        <v>110188.45999999999</v>
      </c>
      <c r="D15" s="18">
        <f>C15+август!D15</f>
        <v>970179.55999999994</v>
      </c>
      <c r="E15" s="9">
        <f>16545.4+97114.6</f>
        <v>113660</v>
      </c>
      <c r="F15" s="18">
        <f>E15+август!F15</f>
        <v>910453.34</v>
      </c>
      <c r="G15" s="18">
        <f t="shared" si="0"/>
        <v>3471.5400000000081</v>
      </c>
      <c r="H15" s="19">
        <f t="shared" si="0"/>
        <v>-59726.219999999972</v>
      </c>
      <c r="I15" s="9"/>
      <c r="J15" s="19">
        <f>I15+август!J15</f>
        <v>0</v>
      </c>
      <c r="K15" s="8"/>
      <c r="L15" s="18">
        <f>K15+август!L15</f>
        <v>0</v>
      </c>
    </row>
    <row r="16" spans="1:13" ht="14.25" customHeight="1">
      <c r="A16" s="1">
        <f t="shared" si="1"/>
        <v>14</v>
      </c>
      <c r="B16" s="34" t="str">
        <f>август!B16</f>
        <v>Электроснабж.на общед.нужды</v>
      </c>
      <c r="C16" s="8">
        <f>1028.53+5154.44+182.27</f>
        <v>6365.24</v>
      </c>
      <c r="D16" s="18">
        <f>C16+август!D16</f>
        <v>59661.39</v>
      </c>
      <c r="E16" s="9">
        <f>682.23+6218.92</f>
        <v>6901.15</v>
      </c>
      <c r="F16" s="18">
        <f>E16+август!F16</f>
        <v>59386.19</v>
      </c>
      <c r="G16" s="18">
        <f t="shared" si="0"/>
        <v>535.90999999999985</v>
      </c>
      <c r="H16" s="19">
        <f t="shared" si="0"/>
        <v>-275.19999999999709</v>
      </c>
      <c r="I16" s="9"/>
      <c r="J16" s="19">
        <f>I16+август!J16</f>
        <v>0</v>
      </c>
      <c r="K16" s="8"/>
      <c r="L16" s="18">
        <f>K16+август!L16</f>
        <v>0</v>
      </c>
    </row>
    <row r="17" spans="1:12" ht="13.5" customHeight="1">
      <c r="A17" s="1">
        <f t="shared" si="1"/>
        <v>15</v>
      </c>
      <c r="B17" s="34" t="str">
        <f>август!B17</f>
        <v>Эксплуатация общедом.ПУ</v>
      </c>
      <c r="C17" s="8">
        <f>704.34+3530.53</f>
        <v>4234.87</v>
      </c>
      <c r="D17" s="18">
        <f>C17+август!D17</f>
        <v>39238.710000000006</v>
      </c>
      <c r="E17" s="9">
        <f>515.27+4267.23</f>
        <v>4782.5</v>
      </c>
      <c r="F17" s="18">
        <f>E17+август!F17</f>
        <v>40220.219999999994</v>
      </c>
      <c r="G17" s="18">
        <f t="shared" si="0"/>
        <v>547.63000000000011</v>
      </c>
      <c r="H17" s="19">
        <f t="shared" si="0"/>
        <v>981.50999999998749</v>
      </c>
      <c r="I17" s="9"/>
      <c r="J17" s="19">
        <f>I17+август!J17</f>
        <v>0</v>
      </c>
      <c r="K17" s="8"/>
      <c r="L17" s="18">
        <f>K17+август!L17</f>
        <v>0</v>
      </c>
    </row>
    <row r="18" spans="1:12" ht="14.25" customHeight="1">
      <c r="A18" s="1">
        <f t="shared" si="1"/>
        <v>16</v>
      </c>
      <c r="B18" s="34" t="str">
        <f>август!B18</f>
        <v>Водоотведение(о/д нужды)</v>
      </c>
      <c r="C18" s="8"/>
      <c r="D18" s="18">
        <f>C18+август!D18</f>
        <v>0</v>
      </c>
      <c r="E18" s="9">
        <v>-85.09</v>
      </c>
      <c r="F18" s="18">
        <f>E18+август!F18</f>
        <v>-65.240000000000009</v>
      </c>
      <c r="G18" s="18">
        <f t="shared" si="0"/>
        <v>-85.09</v>
      </c>
      <c r="H18" s="19">
        <f t="shared" si="0"/>
        <v>-65.240000000000009</v>
      </c>
      <c r="I18" s="9"/>
      <c r="J18" s="19">
        <f>I18+август!J18</f>
        <v>0</v>
      </c>
      <c r="K18" s="8"/>
      <c r="L18" s="18">
        <f>K18+август!L18</f>
        <v>0</v>
      </c>
    </row>
    <row r="19" spans="1:12">
      <c r="A19" s="1">
        <f t="shared" si="1"/>
        <v>17</v>
      </c>
      <c r="B19" s="34" t="str">
        <f>август!B19</f>
        <v>Отопление (о/д нужды)</v>
      </c>
      <c r="C19" s="8"/>
      <c r="D19" s="18">
        <f>C19+август!D19</f>
        <v>0</v>
      </c>
      <c r="E19" s="9">
        <v>226.22</v>
      </c>
      <c r="F19" s="18">
        <f>E19+август!F19</f>
        <v>762</v>
      </c>
      <c r="G19" s="18">
        <f t="shared" si="0"/>
        <v>226.22</v>
      </c>
      <c r="H19" s="19">
        <f t="shared" si="0"/>
        <v>762</v>
      </c>
      <c r="I19" s="9"/>
      <c r="J19" s="19">
        <f>I19+август!J19</f>
        <v>0</v>
      </c>
      <c r="K19" s="8"/>
      <c r="L19" s="18">
        <f>K19+август!L19</f>
        <v>0</v>
      </c>
    </row>
    <row r="20" spans="1:12" ht="14.25" customHeight="1">
      <c r="A20" s="1">
        <f t="shared" si="1"/>
        <v>18</v>
      </c>
      <c r="B20" s="34" t="str">
        <f>август!B20</f>
        <v>Гор.водоснабж.(о/д нужды)</v>
      </c>
      <c r="C20" s="8">
        <f>830.69+4171.35</f>
        <v>5002.0400000000009</v>
      </c>
      <c r="D20" s="18">
        <f>C20+август!D20</f>
        <v>45057.799999999996</v>
      </c>
      <c r="E20" s="9">
        <f>606.37+4996.22</f>
        <v>5602.59</v>
      </c>
      <c r="F20" s="18">
        <f>E20+август!F20</f>
        <v>45215.084000000003</v>
      </c>
      <c r="G20" s="18">
        <f t="shared" si="0"/>
        <v>600.54999999999927</v>
      </c>
      <c r="H20" s="19">
        <f t="shared" si="0"/>
        <v>157.28400000000693</v>
      </c>
      <c r="I20" s="9"/>
      <c r="J20" s="19">
        <f>I20+август!J20</f>
        <v>0</v>
      </c>
      <c r="K20" s="8"/>
      <c r="L20" s="18">
        <f>K20+август!L20</f>
        <v>0</v>
      </c>
    </row>
    <row r="21" spans="1:12">
      <c r="A21" s="1">
        <f t="shared" si="1"/>
        <v>19</v>
      </c>
      <c r="B21" s="34" t="str">
        <f>август!B21</f>
        <v>Холодн водосн о/д нужды</v>
      </c>
      <c r="C21" s="8">
        <f>385.4+1934.55</f>
        <v>2319.9499999999998</v>
      </c>
      <c r="D21" s="18">
        <f>C21+август!D21</f>
        <v>19847.47</v>
      </c>
      <c r="E21" s="9">
        <f>281.05+2433.7</f>
        <v>2714.75</v>
      </c>
      <c r="F21" s="18">
        <f>E21+август!F21</f>
        <v>20078.12</v>
      </c>
      <c r="G21" s="18">
        <f t="shared" si="0"/>
        <v>394.80000000000018</v>
      </c>
      <c r="H21" s="19">
        <f t="shared" si="0"/>
        <v>230.64999999999782</v>
      </c>
      <c r="I21" s="9"/>
      <c r="J21" s="19">
        <f>I21+август!J21</f>
        <v>0</v>
      </c>
      <c r="K21" s="8"/>
      <c r="L21" s="18">
        <f>K21+август!L21</f>
        <v>0</v>
      </c>
    </row>
    <row r="22" spans="1:12">
      <c r="A22" s="1">
        <f t="shared" si="1"/>
        <v>20</v>
      </c>
      <c r="B22" s="34">
        <f>август!B22</f>
        <v>0</v>
      </c>
      <c r="C22" s="8"/>
      <c r="D22" s="18">
        <f>C22+август!D22</f>
        <v>0</v>
      </c>
      <c r="E22" s="8"/>
      <c r="F22" s="18">
        <f>E22+август!F22</f>
        <v>0</v>
      </c>
      <c r="G22" s="18">
        <f t="shared" si="0"/>
        <v>0</v>
      </c>
      <c r="H22" s="19">
        <f t="shared" si="0"/>
        <v>0</v>
      </c>
      <c r="I22" s="9"/>
      <c r="J22" s="19">
        <f>I22+август!J22</f>
        <v>0</v>
      </c>
      <c r="K22" s="8"/>
      <c r="L22" s="18">
        <f>K22+август!L22</f>
        <v>0</v>
      </c>
    </row>
    <row r="23" spans="1:12">
      <c r="A23" s="21"/>
      <c r="B23" s="20" t="s">
        <v>12</v>
      </c>
      <c r="C23" s="18">
        <f t="shared" ref="C23:L23" si="2">SUM(C3:C22)</f>
        <v>534156.6399999999</v>
      </c>
      <c r="D23" s="18">
        <f t="shared" si="2"/>
        <v>6110893.709999999</v>
      </c>
      <c r="E23" s="19">
        <f t="shared" si="2"/>
        <v>640765.45000000007</v>
      </c>
      <c r="F23" s="18">
        <f t="shared" si="2"/>
        <v>6226878.2239999985</v>
      </c>
      <c r="G23" s="18">
        <f t="shared" si="2"/>
        <v>106608.81000000004</v>
      </c>
      <c r="H23" s="19">
        <f t="shared" si="2"/>
        <v>115984.51400000017</v>
      </c>
      <c r="I23" s="19">
        <f t="shared" si="2"/>
        <v>0</v>
      </c>
      <c r="J23" s="19">
        <f t="shared" si="2"/>
        <v>0</v>
      </c>
      <c r="K23" s="18">
        <f t="shared" si="2"/>
        <v>0</v>
      </c>
      <c r="L23" s="18">
        <f t="shared" si="2"/>
        <v>0</v>
      </c>
    </row>
    <row r="24" spans="1:12" ht="9.75" customHeight="1"/>
    <row r="25" spans="1:12" hidden="1"/>
    <row r="26" spans="1:12">
      <c r="B26" s="38" t="s">
        <v>34</v>
      </c>
      <c r="C26" s="9">
        <f t="shared" ref="C26:H26" si="3">C3+C6+C7+C8+C9+C13+C14+C17</f>
        <v>186670.87</v>
      </c>
      <c r="D26" s="9">
        <f t="shared" si="3"/>
        <v>1622415.9900000002</v>
      </c>
      <c r="E26" s="9">
        <f t="shared" si="3"/>
        <v>205961.74000000002</v>
      </c>
      <c r="F26" s="9">
        <f t="shared" si="3"/>
        <v>1575109.4</v>
      </c>
      <c r="G26" s="9">
        <f t="shared" si="3"/>
        <v>19290.870000000014</v>
      </c>
      <c r="H26" s="9">
        <f t="shared" si="3"/>
        <v>-47306.589999999902</v>
      </c>
    </row>
    <row r="27" spans="1:12" ht="6" customHeight="1"/>
    <row r="28" spans="1:12">
      <c r="B28" s="1" t="s">
        <v>35</v>
      </c>
      <c r="C28" s="9">
        <f>C10+C11+C12+C15+C18+C21</f>
        <v>176751.57</v>
      </c>
      <c r="D28" s="9">
        <f t="shared" ref="D28:J28" si="4">D10+D11+D12+D15+D18+D21</f>
        <v>1558247.8299999998</v>
      </c>
      <c r="E28" s="9">
        <f t="shared" si="4"/>
        <v>182464.24</v>
      </c>
      <c r="F28" s="9">
        <f t="shared" si="4"/>
        <v>1465778.1700000002</v>
      </c>
      <c r="G28" s="9">
        <f t="shared" si="4"/>
        <v>5712.6699999999992</v>
      </c>
      <c r="H28" s="9">
        <f t="shared" si="4"/>
        <v>-92469.659999999858</v>
      </c>
      <c r="I28" s="9">
        <f t="shared" si="4"/>
        <v>0</v>
      </c>
      <c r="J28" s="9">
        <f t="shared" si="4"/>
        <v>0</v>
      </c>
    </row>
    <row r="29" spans="1:12">
      <c r="B29" s="1" t="s">
        <v>36</v>
      </c>
      <c r="C29" s="9">
        <f>C16</f>
        <v>6365.24</v>
      </c>
      <c r="D29" s="9">
        <f t="shared" ref="D29:J29" si="5">D16</f>
        <v>59661.39</v>
      </c>
      <c r="E29" s="9">
        <f t="shared" si="5"/>
        <v>6901.15</v>
      </c>
      <c r="F29" s="9">
        <f t="shared" si="5"/>
        <v>59386.19</v>
      </c>
      <c r="G29" s="9">
        <f t="shared" si="5"/>
        <v>535.90999999999985</v>
      </c>
      <c r="H29" s="9">
        <f t="shared" si="5"/>
        <v>-275.19999999999709</v>
      </c>
      <c r="I29" s="9">
        <f t="shared" si="5"/>
        <v>0</v>
      </c>
      <c r="J29" s="9">
        <f t="shared" si="5"/>
        <v>0</v>
      </c>
    </row>
    <row r="30" spans="1:12">
      <c r="B30" s="1" t="s">
        <v>37</v>
      </c>
      <c r="C30" s="9">
        <f>C4+C5+C19+C20</f>
        <v>164368.95999999999</v>
      </c>
      <c r="D30" s="9">
        <f t="shared" ref="D30:J30" si="6">D4+D5+D19+D20</f>
        <v>2870568.5</v>
      </c>
      <c r="E30" s="9">
        <f t="shared" si="6"/>
        <v>245438.32</v>
      </c>
      <c r="F30" s="9">
        <f t="shared" si="6"/>
        <v>3126604.4639999997</v>
      </c>
      <c r="G30" s="9">
        <f t="shared" si="6"/>
        <v>81069.360000000015</v>
      </c>
      <c r="H30" s="9">
        <f t="shared" si="6"/>
        <v>256035.96399999995</v>
      </c>
      <c r="I30" s="9">
        <f t="shared" si="6"/>
        <v>0</v>
      </c>
      <c r="J30" s="9">
        <f t="shared" si="6"/>
        <v>0</v>
      </c>
    </row>
    <row r="33" spans="3:10">
      <c r="C33">
        <f>98325.59+435830.75</f>
        <v>534156.34</v>
      </c>
      <c r="E33">
        <f>74857.21+565908.24</f>
        <v>640765.44999999995</v>
      </c>
    </row>
    <row r="35" spans="3:10">
      <c r="E35" s="44">
        <f>E23-E33</f>
        <v>0</v>
      </c>
      <c r="F35" s="11"/>
      <c r="G35" s="11"/>
      <c r="H35" s="24"/>
    </row>
    <row r="37" spans="3:10">
      <c r="H37" s="24"/>
    </row>
    <row r="39" spans="3:10">
      <c r="J39" s="43"/>
    </row>
  </sheetData>
  <phoneticPr fontId="0" type="noConversion"/>
  <pageMargins left="0.17" right="0.2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декабрь18</vt:lpstr>
      <vt:lpstr>Январь19</vt:lpstr>
      <vt:lpstr>Лист14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NB</cp:lastModifiedBy>
  <cp:lastPrinted>2017-09-28T06:11:58Z</cp:lastPrinted>
  <dcterms:created xsi:type="dcterms:W3CDTF">1996-10-08T23:32:33Z</dcterms:created>
  <dcterms:modified xsi:type="dcterms:W3CDTF">2019-02-18T16:03:37Z</dcterms:modified>
</cp:coreProperties>
</file>