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806" activeTab="1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1" r:id="rId9"/>
    <sheet name="октябрь" sheetId="10" r:id="rId10"/>
    <sheet name="ноябрь" sheetId="12" r:id="rId11"/>
    <sheet name="декабрь18" sheetId="13" r:id="rId12"/>
    <sheet name="Январь19" sheetId="15" r:id="rId13"/>
    <sheet name="Лист14" sheetId="14" r:id="rId14"/>
  </sheets>
  <calcPr calcId="125725" refMode="R1C1"/>
</workbook>
</file>

<file path=xl/calcChain.xml><?xml version="1.0" encoding="utf-8"?>
<calcChain xmlns="http://schemas.openxmlformats.org/spreadsheetml/2006/main">
  <c r="E34" i="13"/>
  <c r="C34"/>
  <c r="E24"/>
  <c r="C24"/>
  <c r="E22"/>
  <c r="C22"/>
  <c r="E19"/>
  <c r="C19"/>
  <c r="E18"/>
  <c r="C18"/>
  <c r="E17"/>
  <c r="C17"/>
  <c r="E16"/>
  <c r="C16"/>
  <c r="E15"/>
  <c r="C15"/>
  <c r="E14"/>
  <c r="C14"/>
  <c r="E11"/>
  <c r="C11"/>
  <c r="E10"/>
  <c r="C10"/>
  <c r="E9"/>
  <c r="C9"/>
  <c r="E7"/>
  <c r="C7"/>
  <c r="E6"/>
  <c r="C6"/>
  <c r="E5"/>
  <c r="C5"/>
  <c r="I33" i="15"/>
  <c r="E33"/>
  <c r="C33"/>
  <c r="I32"/>
  <c r="E32"/>
  <c r="C32"/>
  <c r="I31"/>
  <c r="E31"/>
  <c r="C31"/>
  <c r="E30"/>
  <c r="C30"/>
  <c r="K25"/>
  <c r="I25"/>
  <c r="E25"/>
  <c r="C25"/>
  <c r="L24"/>
  <c r="J24"/>
  <c r="G24"/>
  <c r="F24"/>
  <c r="H24" s="1"/>
  <c r="D24"/>
  <c r="B24"/>
  <c r="L23"/>
  <c r="J23"/>
  <c r="G23"/>
  <c r="F23"/>
  <c r="H23" s="1"/>
  <c r="D23"/>
  <c r="B23"/>
  <c r="L22"/>
  <c r="J22"/>
  <c r="G22"/>
  <c r="F22"/>
  <c r="H22" s="1"/>
  <c r="D22"/>
  <c r="B22"/>
  <c r="L21"/>
  <c r="J21"/>
  <c r="G21"/>
  <c r="F21"/>
  <c r="H21" s="1"/>
  <c r="D21"/>
  <c r="B21"/>
  <c r="L20"/>
  <c r="J20"/>
  <c r="G20"/>
  <c r="F20"/>
  <c r="H20" s="1"/>
  <c r="D20"/>
  <c r="B20"/>
  <c r="L19"/>
  <c r="J19"/>
  <c r="G19"/>
  <c r="F19"/>
  <c r="H19" s="1"/>
  <c r="D19"/>
  <c r="B19"/>
  <c r="L18"/>
  <c r="J18"/>
  <c r="G18"/>
  <c r="F18"/>
  <c r="H18" s="1"/>
  <c r="D18"/>
  <c r="B18"/>
  <c r="L17"/>
  <c r="J17"/>
  <c r="G17"/>
  <c r="F17"/>
  <c r="H17" s="1"/>
  <c r="D17"/>
  <c r="B17"/>
  <c r="L16"/>
  <c r="J16"/>
  <c r="G16"/>
  <c r="F16"/>
  <c r="H16" s="1"/>
  <c r="D16"/>
  <c r="B16"/>
  <c r="L15"/>
  <c r="J15"/>
  <c r="G15"/>
  <c r="F15"/>
  <c r="H15" s="1"/>
  <c r="D15"/>
  <c r="B15"/>
  <c r="L14"/>
  <c r="J14"/>
  <c r="G14"/>
  <c r="F14"/>
  <c r="H14" s="1"/>
  <c r="D14"/>
  <c r="B14"/>
  <c r="L13"/>
  <c r="J13"/>
  <c r="G13"/>
  <c r="F13"/>
  <c r="H13" s="1"/>
  <c r="D13"/>
  <c r="B13"/>
  <c r="L12"/>
  <c r="J12"/>
  <c r="G12"/>
  <c r="F12"/>
  <c r="H12" s="1"/>
  <c r="D12"/>
  <c r="B12"/>
  <c r="L11"/>
  <c r="J11"/>
  <c r="J31" s="1"/>
  <c r="G11"/>
  <c r="G31" s="1"/>
  <c r="F11"/>
  <c r="F31" s="1"/>
  <c r="D11"/>
  <c r="D31" s="1"/>
  <c r="B11"/>
  <c r="L10"/>
  <c r="J10"/>
  <c r="J32" s="1"/>
  <c r="G10"/>
  <c r="G32" s="1"/>
  <c r="F10"/>
  <c r="F32" s="1"/>
  <c r="D10"/>
  <c r="D32" s="1"/>
  <c r="B10"/>
  <c r="L9"/>
  <c r="J9"/>
  <c r="G9"/>
  <c r="G30" s="1"/>
  <c r="F9"/>
  <c r="H9" s="1"/>
  <c r="D9"/>
  <c r="B9"/>
  <c r="L8"/>
  <c r="J8"/>
  <c r="G8"/>
  <c r="F8"/>
  <c r="H8" s="1"/>
  <c r="D8"/>
  <c r="B8"/>
  <c r="L7"/>
  <c r="J7"/>
  <c r="G7"/>
  <c r="G33" s="1"/>
  <c r="F7"/>
  <c r="H7" s="1"/>
  <c r="D7"/>
  <c r="B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L6"/>
  <c r="M6" s="1"/>
  <c r="J6"/>
  <c r="J33" s="1"/>
  <c r="G6"/>
  <c r="F6"/>
  <c r="F33" s="1"/>
  <c r="D6"/>
  <c r="D33" s="1"/>
  <c r="B6"/>
  <c r="A6"/>
  <c r="L5"/>
  <c r="L25" s="1"/>
  <c r="J5"/>
  <c r="J25" s="1"/>
  <c r="G5"/>
  <c r="F5"/>
  <c r="F30" s="1"/>
  <c r="D5"/>
  <c r="D30" s="1"/>
  <c r="B5"/>
  <c r="E31" i="12"/>
  <c r="C31"/>
  <c r="E22"/>
  <c r="C22"/>
  <c r="E20"/>
  <c r="C20"/>
  <c r="E17"/>
  <c r="C17"/>
  <c r="E16"/>
  <c r="C16"/>
  <c r="E15"/>
  <c r="C15"/>
  <c r="E14"/>
  <c r="C14"/>
  <c r="E13"/>
  <c r="C13"/>
  <c r="E12"/>
  <c r="C12"/>
  <c r="E9"/>
  <c r="C9"/>
  <c r="E8"/>
  <c r="C8"/>
  <c r="E7"/>
  <c r="C7"/>
  <c r="E5"/>
  <c r="C5"/>
  <c r="E4"/>
  <c r="C4"/>
  <c r="E3"/>
  <c r="C3"/>
  <c r="E16" i="10"/>
  <c r="E31"/>
  <c r="C31"/>
  <c r="E22"/>
  <c r="C22"/>
  <c r="E20"/>
  <c r="C20"/>
  <c r="E17"/>
  <c r="C17"/>
  <c r="C16"/>
  <c r="E15"/>
  <c r="C15"/>
  <c r="E14"/>
  <c r="C14"/>
  <c r="E13"/>
  <c r="C13"/>
  <c r="E12"/>
  <c r="C12"/>
  <c r="E9"/>
  <c r="C9"/>
  <c r="E8"/>
  <c r="C8"/>
  <c r="E7"/>
  <c r="C7"/>
  <c r="E5"/>
  <c r="C5"/>
  <c r="E4"/>
  <c r="C4"/>
  <c r="E3"/>
  <c r="C3"/>
  <c r="E31" i="11"/>
  <c r="C31"/>
  <c r="E22"/>
  <c r="C22"/>
  <c r="E20"/>
  <c r="C20"/>
  <c r="E17"/>
  <c r="C17"/>
  <c r="E16"/>
  <c r="C16"/>
  <c r="E15"/>
  <c r="C15"/>
  <c r="E14"/>
  <c r="C14"/>
  <c r="E13"/>
  <c r="C13"/>
  <c r="E12"/>
  <c r="C12"/>
  <c r="C9"/>
  <c r="E9"/>
  <c r="E8"/>
  <c r="C8"/>
  <c r="E6"/>
  <c r="C6"/>
  <c r="E5"/>
  <c r="C5"/>
  <c r="E4"/>
  <c r="E3"/>
  <c r="C3"/>
  <c r="E31" i="9"/>
  <c r="C31"/>
  <c r="E22"/>
  <c r="C22"/>
  <c r="E20"/>
  <c r="C20"/>
  <c r="E17"/>
  <c r="C17"/>
  <c r="E16"/>
  <c r="C16"/>
  <c r="E15"/>
  <c r="C15"/>
  <c r="E14"/>
  <c r="C14"/>
  <c r="E13"/>
  <c r="C13"/>
  <c r="E12"/>
  <c r="C12"/>
  <c r="E9"/>
  <c r="C9"/>
  <c r="E8"/>
  <c r="C8"/>
  <c r="E7"/>
  <c r="C7"/>
  <c r="E5"/>
  <c r="C5"/>
  <c r="E4"/>
  <c r="E3"/>
  <c r="C3"/>
  <c r="E31" i="8"/>
  <c r="C31"/>
  <c r="E22"/>
  <c r="C22"/>
  <c r="E20"/>
  <c r="C20"/>
  <c r="E17"/>
  <c r="C17"/>
  <c r="E16"/>
  <c r="C16"/>
  <c r="E15"/>
  <c r="C15"/>
  <c r="E14"/>
  <c r="C14"/>
  <c r="E13"/>
  <c r="C13"/>
  <c r="E12"/>
  <c r="C12"/>
  <c r="E9"/>
  <c r="C9"/>
  <c r="E8"/>
  <c r="C8"/>
  <c r="E7"/>
  <c r="C7"/>
  <c r="E5"/>
  <c r="C5"/>
  <c r="E4"/>
  <c r="C4"/>
  <c r="E3"/>
  <c r="C3"/>
  <c r="E4" i="7"/>
  <c r="E31"/>
  <c r="C31"/>
  <c r="E22"/>
  <c r="C22"/>
  <c r="E20"/>
  <c r="C20"/>
  <c r="E17"/>
  <c r="C17"/>
  <c r="E16"/>
  <c r="C16"/>
  <c r="E15"/>
  <c r="C15"/>
  <c r="E14"/>
  <c r="C14"/>
  <c r="E13"/>
  <c r="C13"/>
  <c r="E12"/>
  <c r="C12"/>
  <c r="E9"/>
  <c r="C9"/>
  <c r="E8"/>
  <c r="C8"/>
  <c r="E7"/>
  <c r="C7"/>
  <c r="E5"/>
  <c r="C5"/>
  <c r="E3"/>
  <c r="C3"/>
  <c r="E31" i="6"/>
  <c r="C31"/>
  <c r="E22"/>
  <c r="C22"/>
  <c r="E20"/>
  <c r="C20"/>
  <c r="E17"/>
  <c r="C17"/>
  <c r="E16"/>
  <c r="C16"/>
  <c r="E15"/>
  <c r="C15"/>
  <c r="E14"/>
  <c r="C14"/>
  <c r="E13"/>
  <c r="C13"/>
  <c r="E12"/>
  <c r="C12"/>
  <c r="E9"/>
  <c r="C9"/>
  <c r="E8"/>
  <c r="C8"/>
  <c r="E7"/>
  <c r="C7"/>
  <c r="C25" s="1"/>
  <c r="E5"/>
  <c r="C5"/>
  <c r="E4"/>
  <c r="C4"/>
  <c r="E3"/>
  <c r="E25" s="1"/>
  <c r="C3"/>
  <c r="H26" i="5"/>
  <c r="G26"/>
  <c r="F26"/>
  <c r="E26"/>
  <c r="D26"/>
  <c r="C26"/>
  <c r="E22"/>
  <c r="C22"/>
  <c r="E20"/>
  <c r="E19"/>
  <c r="C20"/>
  <c r="C19"/>
  <c r="E12"/>
  <c r="E11"/>
  <c r="C12"/>
  <c r="C11"/>
  <c r="E7"/>
  <c r="C7"/>
  <c r="E32"/>
  <c r="C32"/>
  <c r="E23"/>
  <c r="C23"/>
  <c r="E21"/>
  <c r="C21"/>
  <c r="E18"/>
  <c r="C18"/>
  <c r="E17"/>
  <c r="C17"/>
  <c r="E16"/>
  <c r="C16"/>
  <c r="E15"/>
  <c r="C15"/>
  <c r="E14"/>
  <c r="C14"/>
  <c r="E13"/>
  <c r="C13"/>
  <c r="E10"/>
  <c r="C10"/>
  <c r="E9"/>
  <c r="C9"/>
  <c r="E8"/>
  <c r="C8"/>
  <c r="E6"/>
  <c r="C6"/>
  <c r="E5"/>
  <c r="C5"/>
  <c r="E4"/>
  <c r="C4"/>
  <c r="E31" i="4"/>
  <c r="C31"/>
  <c r="E20"/>
  <c r="C20"/>
  <c r="E22"/>
  <c r="C22"/>
  <c r="E17"/>
  <c r="C17"/>
  <c r="E16"/>
  <c r="C16"/>
  <c r="E15"/>
  <c r="C15"/>
  <c r="E14"/>
  <c r="C14"/>
  <c r="E13"/>
  <c r="C13"/>
  <c r="E12"/>
  <c r="C12"/>
  <c r="E9"/>
  <c r="C9"/>
  <c r="E8"/>
  <c r="C8"/>
  <c r="E7"/>
  <c r="C7"/>
  <c r="C6"/>
  <c r="E5"/>
  <c r="C5"/>
  <c r="E4"/>
  <c r="C4"/>
  <c r="E3"/>
  <c r="C3"/>
  <c r="E31" i="3"/>
  <c r="E20"/>
  <c r="C20"/>
  <c r="C31"/>
  <c r="E22"/>
  <c r="C22"/>
  <c r="E17"/>
  <c r="C17"/>
  <c r="E16"/>
  <c r="C16"/>
  <c r="E15"/>
  <c r="C15"/>
  <c r="E14"/>
  <c r="C14"/>
  <c r="E13"/>
  <c r="C13"/>
  <c r="E12"/>
  <c r="C12"/>
  <c r="E9"/>
  <c r="C9"/>
  <c r="E8"/>
  <c r="C8"/>
  <c r="E7"/>
  <c r="C7"/>
  <c r="C6"/>
  <c r="E5"/>
  <c r="C5"/>
  <c r="E4"/>
  <c r="C4"/>
  <c r="E3"/>
  <c r="C3"/>
  <c r="E31" i="2"/>
  <c r="E20"/>
  <c r="C20"/>
  <c r="C31"/>
  <c r="E22"/>
  <c r="C22"/>
  <c r="C18"/>
  <c r="E17"/>
  <c r="C17"/>
  <c r="E16"/>
  <c r="C16"/>
  <c r="E15"/>
  <c r="C15"/>
  <c r="E14"/>
  <c r="C14"/>
  <c r="E13"/>
  <c r="C13"/>
  <c r="E12"/>
  <c r="C12"/>
  <c r="E9"/>
  <c r="C9"/>
  <c r="E8"/>
  <c r="C8"/>
  <c r="E7"/>
  <c r="C7"/>
  <c r="E5"/>
  <c r="C5"/>
  <c r="E4"/>
  <c r="C4"/>
  <c r="E3"/>
  <c r="C3"/>
  <c r="D19" i="5"/>
  <c r="H5" i="15" l="1"/>
  <c r="H6"/>
  <c r="H33" s="1"/>
  <c r="G25"/>
  <c r="H10"/>
  <c r="H32" s="1"/>
  <c r="H11"/>
  <c r="H31" s="1"/>
  <c r="D25"/>
  <c r="F25"/>
  <c r="E31" i="13"/>
  <c r="I31"/>
  <c r="C31"/>
  <c r="E28" i="12"/>
  <c r="I28"/>
  <c r="C28"/>
  <c r="E28" i="10"/>
  <c r="I28"/>
  <c r="C28"/>
  <c r="E28" i="11"/>
  <c r="I28"/>
  <c r="C28"/>
  <c r="E28" i="9"/>
  <c r="I28"/>
  <c r="C28"/>
  <c r="E28" i="8"/>
  <c r="I28"/>
  <c r="C28"/>
  <c r="E28" i="7"/>
  <c r="I28"/>
  <c r="C28"/>
  <c r="E28" i="6"/>
  <c r="I28"/>
  <c r="C28"/>
  <c r="E29" i="5"/>
  <c r="I29"/>
  <c r="C29"/>
  <c r="E28" i="4"/>
  <c r="I28"/>
  <c r="J28"/>
  <c r="C28"/>
  <c r="E28" i="3"/>
  <c r="I28"/>
  <c r="J28"/>
  <c r="C28"/>
  <c r="E28" i="2"/>
  <c r="I28"/>
  <c r="J28"/>
  <c r="C28"/>
  <c r="E28" i="13"/>
  <c r="C28"/>
  <c r="I27" i="12"/>
  <c r="E27"/>
  <c r="C27"/>
  <c r="I26"/>
  <c r="E26"/>
  <c r="C26"/>
  <c r="I27" i="10"/>
  <c r="E27"/>
  <c r="C27"/>
  <c r="I26"/>
  <c r="E26"/>
  <c r="C26"/>
  <c r="H30" i="15" l="1"/>
  <c r="H25"/>
  <c r="I27" i="11"/>
  <c r="E27"/>
  <c r="C27"/>
  <c r="I26"/>
  <c r="E26"/>
  <c r="C26"/>
  <c r="I27" i="9"/>
  <c r="E27"/>
  <c r="C27"/>
  <c r="I26"/>
  <c r="E26"/>
  <c r="C26"/>
  <c r="I27" i="8"/>
  <c r="E27"/>
  <c r="C27"/>
  <c r="I26"/>
  <c r="E26"/>
  <c r="C26"/>
  <c r="I27" i="7"/>
  <c r="E27"/>
  <c r="C27"/>
  <c r="I26"/>
  <c r="E26"/>
  <c r="C26"/>
  <c r="I27" i="6"/>
  <c r="E27"/>
  <c r="C27"/>
  <c r="I26"/>
  <c r="E26"/>
  <c r="C26"/>
  <c r="I28" i="5"/>
  <c r="E28"/>
  <c r="C28"/>
  <c r="I27"/>
  <c r="E27"/>
  <c r="C27"/>
  <c r="I27" i="4"/>
  <c r="E27"/>
  <c r="C27"/>
  <c r="I26"/>
  <c r="E26"/>
  <c r="C26"/>
  <c r="I27" i="3"/>
  <c r="E27"/>
  <c r="C27"/>
  <c r="I26"/>
  <c r="E26"/>
  <c r="C26"/>
  <c r="E27" i="2"/>
  <c r="I27"/>
  <c r="C27"/>
  <c r="E26"/>
  <c r="I26"/>
  <c r="C26"/>
  <c r="C30" i="13"/>
  <c r="C29"/>
  <c r="I30"/>
  <c r="E30"/>
  <c r="I29"/>
  <c r="E29"/>
  <c r="E25" i="11" l="1"/>
  <c r="C25"/>
  <c r="E25" i="7"/>
  <c r="C25"/>
  <c r="E25" i="4"/>
  <c r="C25"/>
  <c r="B17" i="3"/>
  <c r="B17" i="4"/>
  <c r="B18" i="5"/>
  <c r="B17" i="6" s="1"/>
  <c r="B17" i="7" s="1"/>
  <c r="B17" i="8" s="1"/>
  <c r="B17" i="9" s="1"/>
  <c r="B17" i="11" s="1"/>
  <c r="B17" i="10" s="1"/>
  <c r="B17" i="12" s="1"/>
  <c r="B19" i="13" s="1"/>
  <c r="B18" i="3"/>
  <c r="B18" i="4"/>
  <c r="B19" i="5"/>
  <c r="B18" i="6"/>
  <c r="B18" i="7" s="1"/>
  <c r="B18" i="8" s="1"/>
  <c r="B18" i="9" s="1"/>
  <c r="B18" i="11" s="1"/>
  <c r="B18" i="10" s="1"/>
  <c r="B18" i="12" s="1"/>
  <c r="B20" i="13" s="1"/>
  <c r="B19" i="3"/>
  <c r="B19" i="4"/>
  <c r="B20" i="5"/>
  <c r="B19" i="6" s="1"/>
  <c r="B19" i="7" s="1"/>
  <c r="B19" i="8" s="1"/>
  <c r="B19" i="9" s="1"/>
  <c r="B19" i="11" s="1"/>
  <c r="B19" i="10" s="1"/>
  <c r="B19" i="12" s="1"/>
  <c r="B21" i="13" s="1"/>
  <c r="B20" i="3"/>
  <c r="B20" i="4"/>
  <c r="B21" i="5"/>
  <c r="B20" i="6"/>
  <c r="B20" i="7" s="1"/>
  <c r="B20" i="8" s="1"/>
  <c r="B20" i="9" s="1"/>
  <c r="B20" i="11" s="1"/>
  <c r="B20" i="10" s="1"/>
  <c r="B20" i="12" s="1"/>
  <c r="B22" i="13" s="1"/>
  <c r="B4" i="3"/>
  <c r="B4" i="4"/>
  <c r="B5" i="5"/>
  <c r="B4" i="6" s="1"/>
  <c r="B4" i="7" s="1"/>
  <c r="B4" i="8" s="1"/>
  <c r="B4" i="9" s="1"/>
  <c r="B4" i="11" s="1"/>
  <c r="B4" i="10" s="1"/>
  <c r="B4" i="12" s="1"/>
  <c r="B6" i="13" s="1"/>
  <c r="B5" i="3"/>
  <c r="B5" i="4"/>
  <c r="B6" i="5"/>
  <c r="B5" i="6"/>
  <c r="B5" i="7" s="1"/>
  <c r="B5" i="8" s="1"/>
  <c r="B5" i="9" s="1"/>
  <c r="B5" i="11" s="1"/>
  <c r="B5" i="10" s="1"/>
  <c r="B5" i="12" s="1"/>
  <c r="B7" i="13" s="1"/>
  <c r="B6" i="3"/>
  <c r="B6" i="4"/>
  <c r="B7" i="5"/>
  <c r="B6" i="6" s="1"/>
  <c r="B6" i="7" s="1"/>
  <c r="B6" i="8" s="1"/>
  <c r="B6" i="9" s="1"/>
  <c r="B6" i="11" s="1"/>
  <c r="B6" i="10" s="1"/>
  <c r="B6" i="12" s="1"/>
  <c r="B8" i="13" s="1"/>
  <c r="B7" i="3"/>
  <c r="B7" i="4"/>
  <c r="B8" i="5"/>
  <c r="B7" i="6"/>
  <c r="B7" i="7" s="1"/>
  <c r="B7" i="8" s="1"/>
  <c r="B7" i="9" s="1"/>
  <c r="B7" i="11" s="1"/>
  <c r="B7" i="10" s="1"/>
  <c r="B7" i="12" s="1"/>
  <c r="B9" i="13" s="1"/>
  <c r="B8" i="3"/>
  <c r="B8" i="4"/>
  <c r="B9" i="5"/>
  <c r="B8" i="6" s="1"/>
  <c r="B8" i="7" s="1"/>
  <c r="B8" i="8" s="1"/>
  <c r="B8" i="9" s="1"/>
  <c r="B8" i="11" s="1"/>
  <c r="B8" i="10" s="1"/>
  <c r="B8" i="12" s="1"/>
  <c r="B10" i="13" s="1"/>
  <c r="B9" i="3"/>
  <c r="B9" i="4"/>
  <c r="B10" i="5"/>
  <c r="B9" i="6"/>
  <c r="B9" i="7" s="1"/>
  <c r="B9" i="8" s="1"/>
  <c r="B9" i="9" s="1"/>
  <c r="B9" i="11" s="1"/>
  <c r="B9" i="10" s="1"/>
  <c r="B9" i="12" s="1"/>
  <c r="B11" i="13" s="1"/>
  <c r="B10" i="3"/>
  <c r="B10" i="4"/>
  <c r="B11" i="5"/>
  <c r="B10" i="6" s="1"/>
  <c r="B10" i="7" s="1"/>
  <c r="B10" i="8" s="1"/>
  <c r="B10" i="9" s="1"/>
  <c r="B10" i="11" s="1"/>
  <c r="B10" i="10" s="1"/>
  <c r="B10" i="12" s="1"/>
  <c r="B12" i="13" s="1"/>
  <c r="B11" i="3"/>
  <c r="B11" i="4"/>
  <c r="B12" i="5"/>
  <c r="B11" i="6"/>
  <c r="B11" i="7" s="1"/>
  <c r="B11" i="8" s="1"/>
  <c r="B11" i="9" s="1"/>
  <c r="B11" i="11" s="1"/>
  <c r="B11" i="10" s="1"/>
  <c r="B11" i="12" s="1"/>
  <c r="B13" i="13" s="1"/>
  <c r="B12" i="3"/>
  <c r="B12" i="4"/>
  <c r="B13" i="5"/>
  <c r="B12" i="6" s="1"/>
  <c r="B12" i="7" s="1"/>
  <c r="B12" i="8" s="1"/>
  <c r="B12" i="9" s="1"/>
  <c r="B12" i="11" s="1"/>
  <c r="B12" i="10" s="1"/>
  <c r="B12" i="12" s="1"/>
  <c r="B14" i="13" s="1"/>
  <c r="B13" i="3"/>
  <c r="B13" i="4"/>
  <c r="B14" i="5"/>
  <c r="B13" i="6"/>
  <c r="B13" i="7" s="1"/>
  <c r="B13" i="8" s="1"/>
  <c r="B13" i="9" s="1"/>
  <c r="B13" i="11" s="1"/>
  <c r="B13" i="10" s="1"/>
  <c r="B13" i="12" s="1"/>
  <c r="B15" i="13" s="1"/>
  <c r="B14" i="3"/>
  <c r="B14" i="4"/>
  <c r="B15" i="5"/>
  <c r="B14" i="6" s="1"/>
  <c r="B14" i="7" s="1"/>
  <c r="B14" i="8" s="1"/>
  <c r="B14" i="9" s="1"/>
  <c r="B14" i="11" s="1"/>
  <c r="B14" i="10" s="1"/>
  <c r="B14" i="12" s="1"/>
  <c r="B16" i="13" s="1"/>
  <c r="B15" i="3"/>
  <c r="B15" i="4"/>
  <c r="B16" i="5"/>
  <c r="B15" i="6"/>
  <c r="B15" i="7" s="1"/>
  <c r="B15" i="8" s="1"/>
  <c r="B15" i="9" s="1"/>
  <c r="B15" i="11" s="1"/>
  <c r="B15" i="10" s="1"/>
  <c r="B15" i="12" s="1"/>
  <c r="B17" i="13" s="1"/>
  <c r="B16" i="3"/>
  <c r="B16" i="4"/>
  <c r="B17" i="5"/>
  <c r="B16" i="6" s="1"/>
  <c r="B16" i="7" s="1"/>
  <c r="B16" i="8" s="1"/>
  <c r="B16" i="9" s="1"/>
  <c r="B16" i="11" s="1"/>
  <c r="B16" i="10" s="1"/>
  <c r="B16" i="12" s="1"/>
  <c r="B18" i="13" s="1"/>
  <c r="B21" i="3"/>
  <c r="B21" i="4"/>
  <c r="B22" i="5"/>
  <c r="B21" i="6"/>
  <c r="B21" i="7" s="1"/>
  <c r="B21" i="8" s="1"/>
  <c r="B21" i="9" s="1"/>
  <c r="B21" i="10"/>
  <c r="B21" i="12"/>
  <c r="B23" i="13"/>
  <c r="B22" i="3"/>
  <c r="B22" i="4"/>
  <c r="B23" i="5"/>
  <c r="B22" i="6"/>
  <c r="B22" i="7" s="1"/>
  <c r="B22" i="8" s="1"/>
  <c r="B22" i="9" s="1"/>
  <c r="B22" i="11" s="1"/>
  <c r="B22" i="10" s="1"/>
  <c r="B22" i="12" s="1"/>
  <c r="B24" i="13" s="1"/>
  <c r="B3" i="3"/>
  <c r="B3" i="4"/>
  <c r="B4" i="5"/>
  <c r="B3" i="6" s="1"/>
  <c r="B3" i="7" s="1"/>
  <c r="B3" i="8" s="1"/>
  <c r="B3" i="9" s="1"/>
  <c r="B3" i="11" s="1"/>
  <c r="B3" i="10" s="1"/>
  <c r="B3" i="12" s="1"/>
  <c r="B5" i="13" s="1"/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3"/>
  <c r="J4"/>
  <c r="J5"/>
  <c r="J5" i="3"/>
  <c r="J5" i="4"/>
  <c r="J6" i="5"/>
  <c r="J5" i="6"/>
  <c r="J5" i="7" s="1"/>
  <c r="J5" i="8" s="1"/>
  <c r="J5" i="9" s="1"/>
  <c r="J5" i="11" s="1"/>
  <c r="J5" i="10" s="1"/>
  <c r="J5" i="12" s="1"/>
  <c r="J7" i="13" s="1"/>
  <c r="J6" i="2"/>
  <c r="J7"/>
  <c r="J7" i="3"/>
  <c r="J7" i="4"/>
  <c r="J8" i="5"/>
  <c r="J7" i="6" s="1"/>
  <c r="J7" i="7" s="1"/>
  <c r="J7" i="8" s="1"/>
  <c r="J7" i="9" s="1"/>
  <c r="J7" i="11" s="1"/>
  <c r="J7" i="10" s="1"/>
  <c r="J7" i="12" s="1"/>
  <c r="J9" i="13" s="1"/>
  <c r="J8" i="2"/>
  <c r="J27" s="1"/>
  <c r="J9"/>
  <c r="J9" i="3"/>
  <c r="J9" i="4"/>
  <c r="J10" i="5"/>
  <c r="J9" i="6"/>
  <c r="J9" i="7" s="1"/>
  <c r="J9" i="8" s="1"/>
  <c r="J9" i="9" s="1"/>
  <c r="J9" i="11" s="1"/>
  <c r="J9" i="10" s="1"/>
  <c r="J9" i="12" s="1"/>
  <c r="J11" i="13" s="1"/>
  <c r="J10" i="2"/>
  <c r="J11"/>
  <c r="J11" i="3"/>
  <c r="J11" i="4"/>
  <c r="J12" i="5"/>
  <c r="J11" i="6" s="1"/>
  <c r="J11" i="7" s="1"/>
  <c r="J11" i="8" s="1"/>
  <c r="J11" i="9" s="1"/>
  <c r="J11" i="11" s="1"/>
  <c r="J11" i="10" s="1"/>
  <c r="J11" i="12" s="1"/>
  <c r="J13" i="13" s="1"/>
  <c r="J12" i="2"/>
  <c r="J13"/>
  <c r="J13" i="3"/>
  <c r="J13" i="4"/>
  <c r="J14" i="5"/>
  <c r="J13" i="6"/>
  <c r="J13" i="7" s="1"/>
  <c r="J13" i="8" s="1"/>
  <c r="J13" i="9" s="1"/>
  <c r="J13" i="11" s="1"/>
  <c r="J13" i="10" s="1"/>
  <c r="J13" i="12" s="1"/>
  <c r="J15" i="13" s="1"/>
  <c r="J14" i="2"/>
  <c r="J15"/>
  <c r="J16"/>
  <c r="J17"/>
  <c r="J18"/>
  <c r="J19"/>
  <c r="J20"/>
  <c r="J21"/>
  <c r="J22"/>
  <c r="J3"/>
  <c r="F4"/>
  <c r="F5"/>
  <c r="F6"/>
  <c r="F7"/>
  <c r="F8"/>
  <c r="F9"/>
  <c r="F10"/>
  <c r="F11"/>
  <c r="F11" i="3"/>
  <c r="F12" i="2"/>
  <c r="F13"/>
  <c r="F14"/>
  <c r="F15"/>
  <c r="F15" i="3"/>
  <c r="F15" i="4"/>
  <c r="F16" i="5"/>
  <c r="F15" i="6" s="1"/>
  <c r="F15" i="7" s="1"/>
  <c r="F15" i="8" s="1"/>
  <c r="F15" i="9" s="1"/>
  <c r="F15" i="11" s="1"/>
  <c r="F15" i="10" s="1"/>
  <c r="F15" i="12" s="1"/>
  <c r="F17" i="13" s="1"/>
  <c r="F16" i="2"/>
  <c r="F17"/>
  <c r="F17" i="3"/>
  <c r="F17" i="4"/>
  <c r="F18" i="5"/>
  <c r="F17" i="6" s="1"/>
  <c r="F17" i="7" s="1"/>
  <c r="F17" i="8" s="1"/>
  <c r="F17" i="9" s="1"/>
  <c r="F17" i="11" s="1"/>
  <c r="F17" i="10" s="1"/>
  <c r="F17" i="12" s="1"/>
  <c r="F19" i="13" s="1"/>
  <c r="F18" i="2"/>
  <c r="F19"/>
  <c r="F19" i="3"/>
  <c r="F19" i="4"/>
  <c r="F20" i="5"/>
  <c r="F19" i="6" s="1"/>
  <c r="F20" i="2"/>
  <c r="F21"/>
  <c r="F21" i="3"/>
  <c r="F21" i="4"/>
  <c r="F22" i="5"/>
  <c r="F21" i="6" s="1"/>
  <c r="F21" i="7" s="1"/>
  <c r="F21" i="8" s="1"/>
  <c r="F21" i="9" s="1"/>
  <c r="F21" i="11" s="1"/>
  <c r="F21" i="10" s="1"/>
  <c r="F21" i="12" s="1"/>
  <c r="F23" i="13" s="1"/>
  <c r="F22" i="2"/>
  <c r="F28" s="1"/>
  <c r="F3"/>
  <c r="D4"/>
  <c r="D5"/>
  <c r="D6"/>
  <c r="D7"/>
  <c r="D7" i="3"/>
  <c r="D8" i="2"/>
  <c r="D9"/>
  <c r="D9" i="3"/>
  <c r="D10" i="2"/>
  <c r="D11"/>
  <c r="D12"/>
  <c r="D13"/>
  <c r="D13" i="3"/>
  <c r="D14" i="2"/>
  <c r="D15"/>
  <c r="D15" i="3"/>
  <c r="D16" i="2"/>
  <c r="D17"/>
  <c r="D18"/>
  <c r="D19"/>
  <c r="D20"/>
  <c r="D21" i="3"/>
  <c r="D21" i="4"/>
  <c r="D22" i="5" s="1"/>
  <c r="D22" i="2"/>
  <c r="D28" s="1"/>
  <c r="D3"/>
  <c r="G5" i="13"/>
  <c r="G20" i="12"/>
  <c r="G14"/>
  <c r="G10"/>
  <c r="G3"/>
  <c r="C23"/>
  <c r="F14" i="3"/>
  <c r="F12"/>
  <c r="F10"/>
  <c r="F5"/>
  <c r="F5" i="4"/>
  <c r="F6" i="5"/>
  <c r="F5" i="6" s="1"/>
  <c r="F5" i="7" s="1"/>
  <c r="F5" i="8" s="1"/>
  <c r="F3" i="3"/>
  <c r="F4"/>
  <c r="F6"/>
  <c r="F7"/>
  <c r="F7" i="4"/>
  <c r="F8" i="5"/>
  <c r="F7" i="6" s="1"/>
  <c r="F7" i="7" s="1"/>
  <c r="F7" i="8" s="1"/>
  <c r="F7" i="9" s="1"/>
  <c r="F7" i="11" s="1"/>
  <c r="F7" i="10" s="1"/>
  <c r="F7" i="12" s="1"/>
  <c r="F9" i="13" s="1"/>
  <c r="F8" i="3"/>
  <c r="F9"/>
  <c r="F9" i="4"/>
  <c r="F10" i="5"/>
  <c r="F9" i="6" s="1"/>
  <c r="F9" i="7" s="1"/>
  <c r="F9" i="8" s="1"/>
  <c r="F9" i="9" s="1"/>
  <c r="F9" i="11" s="1"/>
  <c r="F9" i="10" s="1"/>
  <c r="F9" i="12" s="1"/>
  <c r="F11" i="13" s="1"/>
  <c r="F13" i="3"/>
  <c r="F13" i="4"/>
  <c r="F14" i="5"/>
  <c r="F13" i="6" s="1"/>
  <c r="F16" i="3"/>
  <c r="F16" i="4"/>
  <c r="F17" i="5"/>
  <c r="F16" i="6" s="1"/>
  <c r="F16" i="7" s="1"/>
  <c r="F16" i="8" s="1"/>
  <c r="F16" i="9" s="1"/>
  <c r="F16" i="11" s="1"/>
  <c r="F16" i="10" s="1"/>
  <c r="F16" i="12" s="1"/>
  <c r="F18" i="13" s="1"/>
  <c r="F18" i="3"/>
  <c r="F18" i="4"/>
  <c r="F20" i="3"/>
  <c r="F20" i="4"/>
  <c r="F22" i="3"/>
  <c r="F28" s="1"/>
  <c r="F22" i="4"/>
  <c r="G23" i="13"/>
  <c r="G24"/>
  <c r="J4" i="3"/>
  <c r="J6"/>
  <c r="J6" i="4"/>
  <c r="J7" i="5"/>
  <c r="J6" i="6" s="1"/>
  <c r="J6" i="7" s="1"/>
  <c r="J6" i="8" s="1"/>
  <c r="J6" i="9" s="1"/>
  <c r="J6" i="11" s="1"/>
  <c r="J6" i="10" s="1"/>
  <c r="J6" i="12" s="1"/>
  <c r="J8" i="13" s="1"/>
  <c r="J8" i="3"/>
  <c r="J27" s="1"/>
  <c r="J8" i="4"/>
  <c r="J27" s="1"/>
  <c r="J9" i="5"/>
  <c r="J8" i="6"/>
  <c r="J8" i="7" s="1"/>
  <c r="J8" i="8" s="1"/>
  <c r="J8" i="9" s="1"/>
  <c r="J8" i="11" s="1"/>
  <c r="J8" i="10" s="1"/>
  <c r="J8" i="12" s="1"/>
  <c r="J10" i="13" s="1"/>
  <c r="J10" i="3"/>
  <c r="J10" i="4"/>
  <c r="J11" i="5"/>
  <c r="J10" i="6" s="1"/>
  <c r="J10" i="7" s="1"/>
  <c r="J10" i="8" s="1"/>
  <c r="J10" i="9" s="1"/>
  <c r="J10" i="11" s="1"/>
  <c r="J10" i="10" s="1"/>
  <c r="J10" i="12" s="1"/>
  <c r="J12" i="13" s="1"/>
  <c r="J12" i="3"/>
  <c r="J12" i="4"/>
  <c r="J13" i="5"/>
  <c r="J12" i="6"/>
  <c r="J12" i="7" s="1"/>
  <c r="J12" i="8" s="1"/>
  <c r="J12" i="9" s="1"/>
  <c r="J12" i="11" s="1"/>
  <c r="J12" i="10" s="1"/>
  <c r="J12" i="12" s="1"/>
  <c r="J14" i="13" s="1"/>
  <c r="D5" i="3"/>
  <c r="D8"/>
  <c r="D8" i="4"/>
  <c r="D9" i="5" s="1"/>
  <c r="D11" i="3"/>
  <c r="D14"/>
  <c r="D14" i="4"/>
  <c r="D15" i="5" s="1"/>
  <c r="D16" i="3"/>
  <c r="D16" i="4"/>
  <c r="D17" i="5" s="1"/>
  <c r="D3" i="3"/>
  <c r="C23" i="8"/>
  <c r="K25" i="13"/>
  <c r="I25"/>
  <c r="G6"/>
  <c r="G7"/>
  <c r="G8"/>
  <c r="G9"/>
  <c r="G10"/>
  <c r="G11"/>
  <c r="G12"/>
  <c r="G13"/>
  <c r="G15"/>
  <c r="G16"/>
  <c r="G17"/>
  <c r="G18"/>
  <c r="G19"/>
  <c r="G20"/>
  <c r="G21"/>
  <c r="G22"/>
  <c r="E25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K23" i="12"/>
  <c r="I23"/>
  <c r="G4"/>
  <c r="G5"/>
  <c r="G6"/>
  <c r="G7"/>
  <c r="G8"/>
  <c r="G27" s="1"/>
  <c r="G9"/>
  <c r="G11"/>
  <c r="G12"/>
  <c r="G13"/>
  <c r="G15"/>
  <c r="G16"/>
  <c r="G17"/>
  <c r="G18"/>
  <c r="G19"/>
  <c r="G21"/>
  <c r="G22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6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4" i="5"/>
  <c r="I2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E24"/>
  <c r="C2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K23" i="4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 s="1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G4" i="2"/>
  <c r="H4"/>
  <c r="G5"/>
  <c r="G6"/>
  <c r="G7"/>
  <c r="G8"/>
  <c r="G9"/>
  <c r="H9"/>
  <c r="G10"/>
  <c r="H10"/>
  <c r="G11"/>
  <c r="G12"/>
  <c r="H12"/>
  <c r="G13"/>
  <c r="G14"/>
  <c r="H14"/>
  <c r="G15"/>
  <c r="G16"/>
  <c r="H16"/>
  <c r="G17"/>
  <c r="G18"/>
  <c r="G19"/>
  <c r="G20"/>
  <c r="G21"/>
  <c r="G22"/>
  <c r="G28" s="1"/>
  <c r="L4" i="14"/>
  <c r="L24"/>
  <c r="L10" i="3"/>
  <c r="L10" i="4"/>
  <c r="L11" i="5"/>
  <c r="L10" i="6" s="1"/>
  <c r="L10" i="7" s="1"/>
  <c r="L10" i="8" s="1"/>
  <c r="L10" i="9" s="1"/>
  <c r="L10" i="11" s="1"/>
  <c r="L10" i="10" s="1"/>
  <c r="L10" i="12" s="1"/>
  <c r="L12" i="13" s="1"/>
  <c r="L11" i="3"/>
  <c r="L11" i="4"/>
  <c r="L12" i="5"/>
  <c r="L11" i="6"/>
  <c r="L11" i="7" s="1"/>
  <c r="L11" i="8" s="1"/>
  <c r="L11" i="9" s="1"/>
  <c r="L11" i="11" s="1"/>
  <c r="L11" i="10" s="1"/>
  <c r="L11" i="12" s="1"/>
  <c r="L13" i="13" s="1"/>
  <c r="J14" i="3"/>
  <c r="J14" i="4"/>
  <c r="J15" i="5"/>
  <c r="J14" i="6" s="1"/>
  <c r="J14" i="7" s="1"/>
  <c r="J14" i="8" s="1"/>
  <c r="J14" i="9" s="1"/>
  <c r="J14" i="11" s="1"/>
  <c r="J14" i="10" s="1"/>
  <c r="J14" i="12" s="1"/>
  <c r="J16" i="13" s="1"/>
  <c r="J15" i="3"/>
  <c r="J15" i="4"/>
  <c r="J16" i="5"/>
  <c r="J15" i="6"/>
  <c r="J15" i="7" s="1"/>
  <c r="J15" i="8" s="1"/>
  <c r="J15" i="9" s="1"/>
  <c r="J15" i="11" s="1"/>
  <c r="J15" i="10" s="1"/>
  <c r="J15" i="12" s="1"/>
  <c r="J17" i="13" s="1"/>
  <c r="J16" i="3"/>
  <c r="J16" i="4"/>
  <c r="J17" i="5"/>
  <c r="J16" i="6" s="1"/>
  <c r="J16" i="7" s="1"/>
  <c r="J16" i="8" s="1"/>
  <c r="J16" i="9" s="1"/>
  <c r="J16" i="11" s="1"/>
  <c r="J16" i="10" s="1"/>
  <c r="J16" i="12" s="1"/>
  <c r="J18" i="13" s="1"/>
  <c r="J17" i="3"/>
  <c r="J17" i="4"/>
  <c r="J18" i="5"/>
  <c r="J17" i="6"/>
  <c r="J17" i="7" s="1"/>
  <c r="J17" i="8" s="1"/>
  <c r="J17" i="9" s="1"/>
  <c r="J17" i="11" s="1"/>
  <c r="J17" i="10" s="1"/>
  <c r="J17" i="12" s="1"/>
  <c r="J19" i="13" s="1"/>
  <c r="J18" i="3"/>
  <c r="J18" i="4"/>
  <c r="J19" i="5"/>
  <c r="J18" i="6" s="1"/>
  <c r="J18" i="7" s="1"/>
  <c r="J18" i="8" s="1"/>
  <c r="J18" i="9" s="1"/>
  <c r="J18" i="11" s="1"/>
  <c r="J18" i="10" s="1"/>
  <c r="J18" i="12" s="1"/>
  <c r="J20" i="13" s="1"/>
  <c r="J19" i="3"/>
  <c r="J19" i="4"/>
  <c r="J20" i="5"/>
  <c r="J19" i="6"/>
  <c r="J19" i="7" s="1"/>
  <c r="J19" i="8" s="1"/>
  <c r="J19" i="9" s="1"/>
  <c r="J19" i="11" s="1"/>
  <c r="J19" i="10" s="1"/>
  <c r="J19" i="12" s="1"/>
  <c r="J21" i="13" s="1"/>
  <c r="J20" i="3"/>
  <c r="J20" i="4"/>
  <c r="J21" i="5"/>
  <c r="J20" i="6" s="1"/>
  <c r="J20" i="7" s="1"/>
  <c r="J20" i="8" s="1"/>
  <c r="J20" i="9" s="1"/>
  <c r="J20" i="11" s="1"/>
  <c r="J20" i="10" s="1"/>
  <c r="J20" i="12" s="1"/>
  <c r="J22" i="13" s="1"/>
  <c r="J21" i="3"/>
  <c r="J21" i="4"/>
  <c r="J22" i="5"/>
  <c r="J21" i="6"/>
  <c r="J21" i="7" s="1"/>
  <c r="J21" i="8" s="1"/>
  <c r="J21" i="9" s="1"/>
  <c r="J21" i="11" s="1"/>
  <c r="J21" i="10" s="1"/>
  <c r="J21" i="12" s="1"/>
  <c r="J23" i="13" s="1"/>
  <c r="J22" i="3"/>
  <c r="J22" i="4"/>
  <c r="J23" i="5"/>
  <c r="J22" i="6" s="1"/>
  <c r="J22" i="7" s="1"/>
  <c r="J22" i="8" s="1"/>
  <c r="J22" i="9" s="1"/>
  <c r="J22" i="11" s="1"/>
  <c r="J22" i="10" s="1"/>
  <c r="J22" i="12" s="1"/>
  <c r="J24" i="13" s="1"/>
  <c r="D17" i="3"/>
  <c r="D17" i="4"/>
  <c r="D18" i="5" s="1"/>
  <c r="H18" i="2"/>
  <c r="D19" i="3"/>
  <c r="H22" i="2"/>
  <c r="K24" i="14"/>
  <c r="J4"/>
  <c r="J24"/>
  <c r="I24"/>
  <c r="F4"/>
  <c r="F24"/>
  <c r="D4"/>
  <c r="E4"/>
  <c r="E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2"/>
  <c r="I23"/>
  <c r="H3"/>
  <c r="G3"/>
  <c r="G23"/>
  <c r="F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J3" i="3"/>
  <c r="G23" i="12"/>
  <c r="L3" i="3"/>
  <c r="L3" i="4"/>
  <c r="L4" i="5"/>
  <c r="L21" i="3"/>
  <c r="L21" i="4"/>
  <c r="L22" i="5"/>
  <c r="L21" i="6"/>
  <c r="L21" i="7" s="1"/>
  <c r="L21" i="8" s="1"/>
  <c r="L21" i="9" s="1"/>
  <c r="L21" i="11" s="1"/>
  <c r="L21" i="10" s="1"/>
  <c r="L21" i="12" s="1"/>
  <c r="L23" i="13" s="1"/>
  <c r="L19" i="3"/>
  <c r="L19" i="4"/>
  <c r="L20" i="5"/>
  <c r="L19" i="6" s="1"/>
  <c r="L19" i="7" s="1"/>
  <c r="L19" i="8" s="1"/>
  <c r="L19" i="9" s="1"/>
  <c r="L19" i="11" s="1"/>
  <c r="L19" i="10" s="1"/>
  <c r="L19" i="12" s="1"/>
  <c r="L21" i="13" s="1"/>
  <c r="L17" i="3"/>
  <c r="L17" i="4"/>
  <c r="L18" i="5"/>
  <c r="L17" i="6"/>
  <c r="L17" i="7" s="1"/>
  <c r="L17" i="8" s="1"/>
  <c r="L17" i="9" s="1"/>
  <c r="L17" i="11" s="1"/>
  <c r="L17" i="10" s="1"/>
  <c r="L17" i="12" s="1"/>
  <c r="L19" i="13" s="1"/>
  <c r="L15" i="3"/>
  <c r="L15" i="4"/>
  <c r="L16" i="5"/>
  <c r="L15" i="6" s="1"/>
  <c r="L15" i="7" s="1"/>
  <c r="L15" i="8" s="1"/>
  <c r="L15" i="9" s="1"/>
  <c r="L15" i="11" s="1"/>
  <c r="L15" i="10" s="1"/>
  <c r="L15" i="12" s="1"/>
  <c r="L17" i="13" s="1"/>
  <c r="L13" i="3"/>
  <c r="L13" i="4"/>
  <c r="L14" i="5"/>
  <c r="L13" i="6"/>
  <c r="L13" i="7" s="1"/>
  <c r="L13" i="8" s="1"/>
  <c r="L13" i="9" s="1"/>
  <c r="L13" i="11" s="1"/>
  <c r="L13" i="10" s="1"/>
  <c r="L13" i="12" s="1"/>
  <c r="L15" i="13" s="1"/>
  <c r="L9" i="3"/>
  <c r="L9" i="4"/>
  <c r="L10" i="5"/>
  <c r="L9" i="6" s="1"/>
  <c r="L9" i="7" s="1"/>
  <c r="L9" i="8" s="1"/>
  <c r="L9" i="9" s="1"/>
  <c r="L9" i="11" s="1"/>
  <c r="L9" i="10" s="1"/>
  <c r="L9" i="12" s="1"/>
  <c r="L11" i="13" s="1"/>
  <c r="L7" i="3"/>
  <c r="L7" i="4"/>
  <c r="L8" i="5"/>
  <c r="L7" i="6"/>
  <c r="L7" i="7" s="1"/>
  <c r="L7" i="8" s="1"/>
  <c r="L7" i="9" s="1"/>
  <c r="L7" i="11" s="1"/>
  <c r="L7" i="10" s="1"/>
  <c r="L7" i="12" s="1"/>
  <c r="L9" i="13" s="1"/>
  <c r="L5" i="3"/>
  <c r="L5" i="4"/>
  <c r="L6" i="5"/>
  <c r="L5" i="6" s="1"/>
  <c r="L5" i="7" s="1"/>
  <c r="L5" i="8" s="1"/>
  <c r="L5" i="9" s="1"/>
  <c r="L5" i="11" s="1"/>
  <c r="L5" i="10" s="1"/>
  <c r="L5" i="12" s="1"/>
  <c r="L7" i="13" s="1"/>
  <c r="L22" i="3"/>
  <c r="L22" i="4"/>
  <c r="L23" i="5"/>
  <c r="L22" i="6"/>
  <c r="L22" i="7" s="1"/>
  <c r="L22" i="8" s="1"/>
  <c r="L22" i="9" s="1"/>
  <c r="L22" i="11" s="1"/>
  <c r="L22" i="10" s="1"/>
  <c r="L22" i="12" s="1"/>
  <c r="L24" i="13" s="1"/>
  <c r="L20" i="3"/>
  <c r="L20" i="4"/>
  <c r="L21" i="5"/>
  <c r="L20" i="6" s="1"/>
  <c r="L20" i="7" s="1"/>
  <c r="L20" i="8" s="1"/>
  <c r="L20" i="9" s="1"/>
  <c r="L20" i="11" s="1"/>
  <c r="L20" i="10" s="1"/>
  <c r="L20" i="12" s="1"/>
  <c r="L22" i="13" s="1"/>
  <c r="L18" i="3"/>
  <c r="L18" i="4"/>
  <c r="L19" i="5"/>
  <c r="L18" i="6"/>
  <c r="L18" i="7" s="1"/>
  <c r="L18" i="8" s="1"/>
  <c r="L18" i="9" s="1"/>
  <c r="L18" i="11" s="1"/>
  <c r="L18" i="10" s="1"/>
  <c r="L18" i="12" s="1"/>
  <c r="L20" i="13" s="1"/>
  <c r="L16" i="3"/>
  <c r="L16" i="4"/>
  <c r="L17" i="5"/>
  <c r="L16" i="6" s="1"/>
  <c r="L16" i="7" s="1"/>
  <c r="L16" i="8" s="1"/>
  <c r="L16" i="9" s="1"/>
  <c r="L16" i="11" s="1"/>
  <c r="L16" i="10" s="1"/>
  <c r="L16" i="12" s="1"/>
  <c r="L18" i="13" s="1"/>
  <c r="L14" i="3"/>
  <c r="L14" i="4"/>
  <c r="L15" i="5"/>
  <c r="L14" i="6"/>
  <c r="L14" i="7" s="1"/>
  <c r="L14" i="8" s="1"/>
  <c r="L14" i="9" s="1"/>
  <c r="L14" i="11" s="1"/>
  <c r="L14" i="10" s="1"/>
  <c r="L14" i="12" s="1"/>
  <c r="L16" i="13" s="1"/>
  <c r="L12" i="3"/>
  <c r="L12" i="4"/>
  <c r="L13" i="5"/>
  <c r="L12" i="6" s="1"/>
  <c r="L12" i="7"/>
  <c r="L12" i="8" s="1"/>
  <c r="L12" i="9" s="1"/>
  <c r="L12" i="11" s="1"/>
  <c r="L12" i="10" s="1"/>
  <c r="L12" i="12" s="1"/>
  <c r="L14" i="13" s="1"/>
  <c r="L8" i="3"/>
  <c r="L8" i="4"/>
  <c r="L9" i="5"/>
  <c r="L8" i="6"/>
  <c r="L8" i="7" s="1"/>
  <c r="L8" i="8" s="1"/>
  <c r="L8" i="9" s="1"/>
  <c r="L8" i="11" s="1"/>
  <c r="L8" i="10" s="1"/>
  <c r="L8" i="12" s="1"/>
  <c r="L10" i="13" s="1"/>
  <c r="L6" i="3"/>
  <c r="L6" i="4"/>
  <c r="L7" i="5"/>
  <c r="L6" i="6" s="1"/>
  <c r="L6" i="7" s="1"/>
  <c r="L6" i="8" s="1"/>
  <c r="L6" i="9" s="1"/>
  <c r="L6" i="11" s="1"/>
  <c r="L6" i="10" s="1"/>
  <c r="L6" i="12" s="1"/>
  <c r="L8" i="13" s="1"/>
  <c r="L4" i="3"/>
  <c r="L4" i="4"/>
  <c r="H21" i="2"/>
  <c r="H17"/>
  <c r="G23" i="10"/>
  <c r="D23" i="2"/>
  <c r="D4" i="3"/>
  <c r="D4" i="4"/>
  <c r="D5" i="5" s="1"/>
  <c r="D6" i="3"/>
  <c r="D10"/>
  <c r="D10" i="4"/>
  <c r="D11" i="5" s="1"/>
  <c r="D12" i="3"/>
  <c r="D12" i="4"/>
  <c r="D13" i="5" s="1"/>
  <c r="D12" i="6" s="1"/>
  <c r="D11" i="4"/>
  <c r="D12" i="5" s="1"/>
  <c r="D11" i="6" s="1"/>
  <c r="M4" i="2"/>
  <c r="G14" i="13"/>
  <c r="G25" s="1"/>
  <c r="C25"/>
  <c r="D6" i="4"/>
  <c r="D7" i="5" s="1"/>
  <c r="D6" i="6" s="1"/>
  <c r="H20" i="2"/>
  <c r="D20" i="3"/>
  <c r="D20" i="4"/>
  <c r="D21" i="5" s="1"/>
  <c r="D20" i="6" s="1"/>
  <c r="D20" i="7" s="1"/>
  <c r="D20" i="8" s="1"/>
  <c r="D20" i="9" s="1"/>
  <c r="D20" i="11" s="1"/>
  <c r="D20" i="10" s="1"/>
  <c r="D20" i="12" s="1"/>
  <c r="D22" i="13" s="1"/>
  <c r="J23" i="2"/>
  <c r="H19"/>
  <c r="D24" i="14"/>
  <c r="D22" i="3"/>
  <c r="D28" s="1"/>
  <c r="D18"/>
  <c r="D22" i="4"/>
  <c r="D23" i="5" s="1"/>
  <c r="H20" i="3"/>
  <c r="D22" i="6"/>
  <c r="D22" i="7" s="1"/>
  <c r="G24" i="14"/>
  <c r="H4"/>
  <c r="H24"/>
  <c r="H22" i="3"/>
  <c r="H18"/>
  <c r="H16"/>
  <c r="H17"/>
  <c r="H13" i="2"/>
  <c r="H7"/>
  <c r="G23" i="4"/>
  <c r="H21" i="3"/>
  <c r="L3" i="6"/>
  <c r="L3" i="7" s="1"/>
  <c r="L3" i="8" s="1"/>
  <c r="L3" i="9" s="1"/>
  <c r="L3" i="11" s="1"/>
  <c r="L3" i="10" s="1"/>
  <c r="L3" i="12" s="1"/>
  <c r="L5" i="13" s="1"/>
  <c r="L5" i="5"/>
  <c r="L4" i="6" s="1"/>
  <c r="L23" i="4"/>
  <c r="L23" i="2"/>
  <c r="L23" i="3"/>
  <c r="J4" i="4"/>
  <c r="M4" i="3"/>
  <c r="J23"/>
  <c r="J3" i="4"/>
  <c r="F23" i="5"/>
  <c r="H22" i="4"/>
  <c r="F21" i="5"/>
  <c r="F20" i="6" s="1"/>
  <c r="H20" i="4"/>
  <c r="F11"/>
  <c r="H11" i="3"/>
  <c r="F8" i="4"/>
  <c r="F27" s="1"/>
  <c r="F9" i="5"/>
  <c r="H8" i="3"/>
  <c r="H27" s="1"/>
  <c r="F6" i="4"/>
  <c r="H6" i="3"/>
  <c r="H10"/>
  <c r="F10" i="4"/>
  <c r="F11" i="5"/>
  <c r="F10" i="6" s="1"/>
  <c r="F14" i="4"/>
  <c r="F15" i="5"/>
  <c r="F14" i="6" s="1"/>
  <c r="H14" i="3"/>
  <c r="F4" i="4"/>
  <c r="F5" i="5"/>
  <c r="F4" i="6" s="1"/>
  <c r="H4" i="3"/>
  <c r="H12"/>
  <c r="F12" i="4"/>
  <c r="F19" i="5"/>
  <c r="F18" i="6"/>
  <c r="F18" i="7" s="1"/>
  <c r="H18" i="4"/>
  <c r="F3"/>
  <c r="F25" s="1"/>
  <c r="F23" i="3"/>
  <c r="H21" i="5"/>
  <c r="H15" i="2"/>
  <c r="H11"/>
  <c r="H8"/>
  <c r="H27" s="1"/>
  <c r="H6"/>
  <c r="H5"/>
  <c r="H10" i="4"/>
  <c r="H4"/>
  <c r="D19"/>
  <c r="D20" i="5" s="1"/>
  <c r="H19" i="3"/>
  <c r="H9"/>
  <c r="D9" i="4"/>
  <c r="D10" i="5" s="1"/>
  <c r="H8" i="4"/>
  <c r="H27" s="1"/>
  <c r="D28" i="5"/>
  <c r="D18" i="6"/>
  <c r="D18" i="7" s="1"/>
  <c r="D18" i="8" s="1"/>
  <c r="D18" i="9" s="1"/>
  <c r="D18" i="11" s="1"/>
  <c r="D18" i="10" s="1"/>
  <c r="D18" i="12" s="1"/>
  <c r="D20" i="13" s="1"/>
  <c r="H21" i="4"/>
  <c r="H17"/>
  <c r="H3" i="3"/>
  <c r="D3" i="4"/>
  <c r="D4" i="5" s="1"/>
  <c r="D23" i="3"/>
  <c r="H16" i="4"/>
  <c r="H13" i="3"/>
  <c r="D13" i="4"/>
  <c r="D14" i="5" s="1"/>
  <c r="H7" i="3"/>
  <c r="D7" i="4"/>
  <c r="D8" i="5" s="1"/>
  <c r="H5" i="3"/>
  <c r="D5" i="4"/>
  <c r="D6" i="5" s="1"/>
  <c r="D15" i="4"/>
  <c r="D16" i="5" s="1"/>
  <c r="H16" s="1"/>
  <c r="H15" i="3"/>
  <c r="H23" i="2"/>
  <c r="H19" i="5"/>
  <c r="H14" i="4"/>
  <c r="L24" i="5"/>
  <c r="J23" i="4"/>
  <c r="J4" i="5"/>
  <c r="M4" i="4"/>
  <c r="J5" i="5"/>
  <c r="J29" s="1"/>
  <c r="H12" i="4"/>
  <c r="F13" i="5"/>
  <c r="F4"/>
  <c r="F23" i="4"/>
  <c r="F7" i="5"/>
  <c r="H7" s="1"/>
  <c r="H6" i="4"/>
  <c r="F12" i="5"/>
  <c r="H11" i="4"/>
  <c r="F22" i="6"/>
  <c r="F22" i="7" s="1"/>
  <c r="F22" i="8" s="1"/>
  <c r="F22" i="9" s="1"/>
  <c r="F22" i="11" s="1"/>
  <c r="F22" i="10" s="1"/>
  <c r="F22" i="12" s="1"/>
  <c r="F24" i="13" s="1"/>
  <c r="H23" i="5"/>
  <c r="H15" i="4"/>
  <c r="D16" i="6"/>
  <c r="D16" i="7" s="1"/>
  <c r="H17" i="5"/>
  <c r="H3" i="4"/>
  <c r="D23"/>
  <c r="H18" i="6"/>
  <c r="D8"/>
  <c r="H9" i="5"/>
  <c r="H28" s="1"/>
  <c r="H9" i="4"/>
  <c r="H26" s="1"/>
  <c r="D4" i="6"/>
  <c r="D4" i="7" s="1"/>
  <c r="D4" i="8" s="1"/>
  <c r="D4" i="9" s="1"/>
  <c r="D4" i="11" s="1"/>
  <c r="D4" i="10" s="1"/>
  <c r="D4" i="12" s="1"/>
  <c r="D6" i="13" s="1"/>
  <c r="H5" i="4"/>
  <c r="H7"/>
  <c r="H13"/>
  <c r="H18" i="5"/>
  <c r="D17" i="6"/>
  <c r="D17" i="7" s="1"/>
  <c r="H22" i="5"/>
  <c r="D21" i="6"/>
  <c r="D21" i="7" s="1"/>
  <c r="D14" i="6"/>
  <c r="D14" i="7" s="1"/>
  <c r="D14" i="8" s="1"/>
  <c r="D14" i="9" s="1"/>
  <c r="D14" i="11" s="1"/>
  <c r="D14" i="10" s="1"/>
  <c r="D14" i="12" s="1"/>
  <c r="D16" i="13" s="1"/>
  <c r="H15" i="5"/>
  <c r="H19" i="4"/>
  <c r="D10" i="6"/>
  <c r="H11" i="5"/>
  <c r="H23" i="3"/>
  <c r="M5" i="5"/>
  <c r="J4" i="6"/>
  <c r="J28" s="1"/>
  <c r="J3"/>
  <c r="J3" i="7" s="1"/>
  <c r="J24" i="5"/>
  <c r="F12" i="6"/>
  <c r="F12" i="7" s="1"/>
  <c r="F12" i="8" s="1"/>
  <c r="F12" i="9" s="1"/>
  <c r="F12" i="11" s="1"/>
  <c r="F12" i="10" s="1"/>
  <c r="F12" i="12" s="1"/>
  <c r="F14" i="13" s="1"/>
  <c r="F11" i="6"/>
  <c r="H12" i="5"/>
  <c r="F6" i="6"/>
  <c r="F6" i="7" s="1"/>
  <c r="F6" i="8" s="1"/>
  <c r="F6" i="9" s="1"/>
  <c r="F6" i="11" s="1"/>
  <c r="F6" i="10" s="1"/>
  <c r="F6" i="12" s="1"/>
  <c r="F8" i="13" s="1"/>
  <c r="F3" i="6"/>
  <c r="D10" i="7"/>
  <c r="D10" i="8" s="1"/>
  <c r="D10" i="9" s="1"/>
  <c r="D10" i="11" s="1"/>
  <c r="D10" i="10" s="1"/>
  <c r="D10" i="12" s="1"/>
  <c r="D12" i="13" s="1"/>
  <c r="D13" i="6"/>
  <c r="D13" i="7" s="1"/>
  <c r="H14" i="5"/>
  <c r="D7" i="6"/>
  <c r="D7" i="7" s="1"/>
  <c r="D7" i="8" s="1"/>
  <c r="H8" i="5"/>
  <c r="D5" i="6"/>
  <c r="D5" i="7" s="1"/>
  <c r="D5" i="8" s="1"/>
  <c r="D5" i="9" s="1"/>
  <c r="D5" i="11" s="1"/>
  <c r="H6" i="5"/>
  <c r="D9" i="6"/>
  <c r="D9" i="7" s="1"/>
  <c r="H10" i="5"/>
  <c r="D8" i="7"/>
  <c r="D8" i="8" s="1"/>
  <c r="D8" i="9" s="1"/>
  <c r="D8" i="11" s="1"/>
  <c r="D8" i="10" s="1"/>
  <c r="D8" i="12" s="1"/>
  <c r="D10" i="13" s="1"/>
  <c r="H20" i="5"/>
  <c r="D19" i="6"/>
  <c r="D19" i="7" s="1"/>
  <c r="H21" i="6"/>
  <c r="H17"/>
  <c r="H4" i="5"/>
  <c r="D3" i="6"/>
  <c r="D24" i="5"/>
  <c r="H16" i="6"/>
  <c r="D15"/>
  <c r="D15" i="7" s="1"/>
  <c r="H23" i="4"/>
  <c r="J4" i="7"/>
  <c r="J23" i="6"/>
  <c r="F11" i="7"/>
  <c r="F11" i="8" s="1"/>
  <c r="F11" i="9" s="1"/>
  <c r="F11" i="11" s="1"/>
  <c r="F11" i="10" s="1"/>
  <c r="F11" i="12" s="1"/>
  <c r="F13" i="13" s="1"/>
  <c r="H9" i="6"/>
  <c r="H7"/>
  <c r="J4" i="8"/>
  <c r="J4" i="9"/>
  <c r="J4" i="11"/>
  <c r="J4" i="10" s="1"/>
  <c r="J4" i="12" s="1"/>
  <c r="J6" i="13" s="1"/>
  <c r="G23" i="6"/>
  <c r="G23" i="7"/>
  <c r="G23" i="8"/>
  <c r="G23" i="9"/>
  <c r="G23" i="11" l="1"/>
  <c r="H22" i="6"/>
  <c r="H16" i="7"/>
  <c r="D16" i="8"/>
  <c r="D25" i="6"/>
  <c r="G25"/>
  <c r="F3" i="7"/>
  <c r="F25" i="6"/>
  <c r="D3" i="7"/>
  <c r="D3" i="8" s="1"/>
  <c r="D3" i="9" s="1"/>
  <c r="D3" i="11" s="1"/>
  <c r="D3" i="10" s="1"/>
  <c r="D3" i="12" s="1"/>
  <c r="D5" i="13" s="1"/>
  <c r="F19" i="7"/>
  <c r="F19" i="8" s="1"/>
  <c r="F19" i="9" s="1"/>
  <c r="F19" i="11" s="1"/>
  <c r="F19" i="10" s="1"/>
  <c r="F19" i="12" s="1"/>
  <c r="F21" i="13" s="1"/>
  <c r="H19" i="6"/>
  <c r="F28" i="5"/>
  <c r="H15" i="6"/>
  <c r="D27" i="5"/>
  <c r="G24"/>
  <c r="F13" i="7"/>
  <c r="F13" i="8" s="1"/>
  <c r="F13" i="9" s="1"/>
  <c r="F13" i="11" s="1"/>
  <c r="F13" i="10" s="1"/>
  <c r="F13" i="12" s="1"/>
  <c r="F15" i="13" s="1"/>
  <c r="H13" i="6"/>
  <c r="H13" i="7"/>
  <c r="D12"/>
  <c r="H12" i="6"/>
  <c r="H13" i="5"/>
  <c r="H7" i="7"/>
  <c r="F5" i="9"/>
  <c r="H5" i="8"/>
  <c r="H5" i="7"/>
  <c r="H5" i="6"/>
  <c r="F4" i="7"/>
  <c r="H4" i="6"/>
  <c r="H5" i="5"/>
  <c r="H24" s="1"/>
  <c r="F24"/>
  <c r="F3" i="8"/>
  <c r="H3" i="6"/>
  <c r="H7" i="8"/>
  <c r="D7" i="9"/>
  <c r="D15" i="8"/>
  <c r="H15" i="7"/>
  <c r="D19" i="8"/>
  <c r="H19" i="7"/>
  <c r="H9"/>
  <c r="D9" i="8"/>
  <c r="H21" i="7"/>
  <c r="D21" i="8"/>
  <c r="H17" i="7"/>
  <c r="D17" i="8"/>
  <c r="J3"/>
  <c r="J23" i="7"/>
  <c r="D13" i="8"/>
  <c r="F28" i="6"/>
  <c r="D5" i="10"/>
  <c r="H18" i="7"/>
  <c r="F18" i="8"/>
  <c r="H20" i="6"/>
  <c r="F20" i="7"/>
  <c r="L23" i="6"/>
  <c r="L4" i="7"/>
  <c r="M4" i="6"/>
  <c r="H6"/>
  <c r="D6" i="7"/>
  <c r="D23" i="6"/>
  <c r="D12" i="8"/>
  <c r="H12" i="7"/>
  <c r="F4" i="8"/>
  <c r="H4" i="7"/>
  <c r="H14" i="6"/>
  <c r="F14" i="7"/>
  <c r="F10"/>
  <c r="H10" i="6"/>
  <c r="H22" i="7"/>
  <c r="D22" i="8"/>
  <c r="D28" s="1"/>
  <c r="D11" i="7"/>
  <c r="H11" i="6"/>
  <c r="D30" i="13"/>
  <c r="D27" i="11"/>
  <c r="D27" i="9"/>
  <c r="H26" i="6"/>
  <c r="D27" i="8"/>
  <c r="D27" i="7"/>
  <c r="F28"/>
  <c r="D27" i="12"/>
  <c r="D27" i="10"/>
  <c r="F25" i="7"/>
  <c r="D27" i="6"/>
  <c r="F8"/>
  <c r="G30" i="13"/>
  <c r="G29"/>
  <c r="G28"/>
  <c r="G31"/>
  <c r="G26" i="12"/>
  <c r="G28"/>
  <c r="J27"/>
  <c r="J27" i="10"/>
  <c r="J27" i="11"/>
  <c r="J27" i="9"/>
  <c r="J27" i="8"/>
  <c r="J27" i="7"/>
  <c r="J27" i="6"/>
  <c r="J28" i="5"/>
  <c r="J31" i="13"/>
  <c r="J28" i="12"/>
  <c r="J28" i="10"/>
  <c r="J28" i="11"/>
  <c r="J28" i="9"/>
  <c r="J28" i="8"/>
  <c r="J28" i="7"/>
  <c r="G27" i="10"/>
  <c r="G26"/>
  <c r="G28"/>
  <c r="G28" i="11"/>
  <c r="G28" i="9"/>
  <c r="G28" i="8"/>
  <c r="G28" i="7"/>
  <c r="G28" i="6"/>
  <c r="G29" i="5"/>
  <c r="G28" i="4"/>
  <c r="G28" i="3"/>
  <c r="F29" i="5"/>
  <c r="F28" i="4"/>
  <c r="H28" i="6"/>
  <c r="H29" i="5"/>
  <c r="H28" i="4"/>
  <c r="H28" i="3"/>
  <c r="D28" i="7"/>
  <c r="D28" i="6"/>
  <c r="D29" i="5"/>
  <c r="D28" i="4"/>
  <c r="H28" i="2"/>
  <c r="J26" i="7"/>
  <c r="J26" i="3"/>
  <c r="J26" i="12"/>
  <c r="J26" i="10"/>
  <c r="G27" i="11"/>
  <c r="G26"/>
  <c r="G27" i="9"/>
  <c r="G26"/>
  <c r="J26" i="11"/>
  <c r="J26" i="9"/>
  <c r="J26" i="8"/>
  <c r="G27"/>
  <c r="G26"/>
  <c r="G27" i="7"/>
  <c r="G26"/>
  <c r="J26" i="6"/>
  <c r="G27"/>
  <c r="D26"/>
  <c r="F26"/>
  <c r="G26"/>
  <c r="J27" i="5"/>
  <c r="G28"/>
  <c r="H27"/>
  <c r="F27"/>
  <c r="G27"/>
  <c r="J26" i="4"/>
  <c r="G27"/>
  <c r="G26"/>
  <c r="F27" i="3"/>
  <c r="G27"/>
  <c r="D27" i="4"/>
  <c r="D27" i="3"/>
  <c r="F26"/>
  <c r="D26" i="4"/>
  <c r="H26" i="3"/>
  <c r="F26" i="4"/>
  <c r="G26" i="3"/>
  <c r="D26"/>
  <c r="J26" i="2"/>
  <c r="F27"/>
  <c r="G27"/>
  <c r="D27"/>
  <c r="F26"/>
  <c r="H26"/>
  <c r="G26"/>
  <c r="D26"/>
  <c r="J30" i="13"/>
  <c r="J29"/>
  <c r="G25" i="11"/>
  <c r="G25" i="7"/>
  <c r="G25" i="4"/>
  <c r="D25" i="7"/>
  <c r="D25" i="4"/>
  <c r="H25"/>
  <c r="H3" i="7" l="1"/>
  <c r="D16" i="9"/>
  <c r="H16" i="8"/>
  <c r="H25" i="6"/>
  <c r="F5" i="11"/>
  <c r="H5" i="9"/>
  <c r="F3"/>
  <c r="H3" i="8"/>
  <c r="H13"/>
  <c r="D13" i="9"/>
  <c r="J3"/>
  <c r="J23" i="8"/>
  <c r="H19"/>
  <c r="D19" i="9"/>
  <c r="H15" i="8"/>
  <c r="D15" i="9"/>
  <c r="H28" i="7"/>
  <c r="H17" i="8"/>
  <c r="D17" i="9"/>
  <c r="H21" i="8"/>
  <c r="D21" i="9"/>
  <c r="H9" i="8"/>
  <c r="D9" i="9"/>
  <c r="D7" i="11"/>
  <c r="H7" i="9"/>
  <c r="F27" i="6"/>
  <c r="H8"/>
  <c r="H27" s="1"/>
  <c r="F8" i="7"/>
  <c r="F23" i="6"/>
  <c r="D11" i="8"/>
  <c r="H11" i="7"/>
  <c r="F10" i="8"/>
  <c r="H10" i="7"/>
  <c r="H26" s="1"/>
  <c r="F4" i="9"/>
  <c r="H4" i="8"/>
  <c r="L4"/>
  <c r="L23" i="7"/>
  <c r="M4"/>
  <c r="H20"/>
  <c r="F20" i="8"/>
  <c r="F18" i="9"/>
  <c r="H18" i="8"/>
  <c r="D5" i="12"/>
  <c r="D22" i="9"/>
  <c r="H22" i="8"/>
  <c r="F14"/>
  <c r="H14" i="7"/>
  <c r="H25" s="1"/>
  <c r="D12" i="9"/>
  <c r="H12" i="8"/>
  <c r="D6"/>
  <c r="D23" i="7"/>
  <c r="H6"/>
  <c r="H23" i="6"/>
  <c r="F26" i="7"/>
  <c r="D26"/>
  <c r="F28" i="8"/>
  <c r="D16" i="11" l="1"/>
  <c r="H16" i="9"/>
  <c r="F5" i="10"/>
  <c r="H5" i="11"/>
  <c r="H3" i="9"/>
  <c r="F3" i="11"/>
  <c r="H9" i="9"/>
  <c r="D9" i="11"/>
  <c r="D21"/>
  <c r="H21" i="9"/>
  <c r="D17" i="11"/>
  <c r="H17" i="9"/>
  <c r="J3" i="11"/>
  <c r="J23" i="9"/>
  <c r="H7" i="11"/>
  <c r="D7" i="10"/>
  <c r="D15" i="11"/>
  <c r="H15" i="9"/>
  <c r="H19"/>
  <c r="D19" i="11"/>
  <c r="H13" i="9"/>
  <c r="D13" i="11"/>
  <c r="D7" i="13"/>
  <c r="F18" i="11"/>
  <c r="H18" i="9"/>
  <c r="H28" i="8"/>
  <c r="H4" i="9"/>
  <c r="F4" i="11"/>
  <c r="F28" i="9"/>
  <c r="H10" i="8"/>
  <c r="F10" i="9"/>
  <c r="F26" i="8"/>
  <c r="H11"/>
  <c r="D11" i="9"/>
  <c r="D26" i="8"/>
  <c r="F8"/>
  <c r="H8" i="7"/>
  <c r="F23"/>
  <c r="F27"/>
  <c r="H6" i="8"/>
  <c r="D23"/>
  <c r="D6" i="9"/>
  <c r="H12"/>
  <c r="D12" i="11"/>
  <c r="H14" i="8"/>
  <c r="F14" i="9"/>
  <c r="H22"/>
  <c r="D22" i="11"/>
  <c r="D28" i="9"/>
  <c r="H20" i="8"/>
  <c r="F20" i="9"/>
  <c r="L23" i="8"/>
  <c r="M4"/>
  <c r="L4" i="9"/>
  <c r="D16" i="10" l="1"/>
  <c r="H16" i="11"/>
  <c r="F5" i="12"/>
  <c r="H5" i="10"/>
  <c r="F3"/>
  <c r="H3" i="11"/>
  <c r="D15" i="10"/>
  <c r="H15" i="11"/>
  <c r="J23"/>
  <c r="J3" i="10"/>
  <c r="D17"/>
  <c r="H17" i="11"/>
  <c r="D21" i="10"/>
  <c r="H21" i="11"/>
  <c r="H26" i="8"/>
  <c r="H13" i="11"/>
  <c r="D13" i="10"/>
  <c r="H19" i="11"/>
  <c r="D19" i="10"/>
  <c r="H7"/>
  <c r="D7" i="12"/>
  <c r="H9" i="11"/>
  <c r="D9" i="10"/>
  <c r="L4" i="11"/>
  <c r="M4" i="9"/>
  <c r="L23"/>
  <c r="D22" i="10"/>
  <c r="H22" i="11"/>
  <c r="D28"/>
  <c r="F14"/>
  <c r="H14" i="9"/>
  <c r="H12" i="11"/>
  <c r="D12" i="10"/>
  <c r="D25" i="11"/>
  <c r="D6"/>
  <c r="H6" i="9"/>
  <c r="D23"/>
  <c r="H8" i="8"/>
  <c r="H27" s="1"/>
  <c r="F8" i="9"/>
  <c r="F27" i="8"/>
  <c r="F23"/>
  <c r="D11" i="11"/>
  <c r="H11" i="9"/>
  <c r="D26"/>
  <c r="F4" i="10"/>
  <c r="H4" i="11"/>
  <c r="F28"/>
  <c r="H28" i="9"/>
  <c r="F18" i="10"/>
  <c r="H18" i="11"/>
  <c r="F20"/>
  <c r="H20" i="9"/>
  <c r="H27" i="7"/>
  <c r="H23"/>
  <c r="F10" i="11"/>
  <c r="H10" i="9"/>
  <c r="H26" s="1"/>
  <c r="F26"/>
  <c r="D16" i="12" l="1"/>
  <c r="H16" i="10"/>
  <c r="F7" i="13"/>
  <c r="H7" s="1"/>
  <c r="H5" i="12"/>
  <c r="H3" i="10"/>
  <c r="F3" i="12"/>
  <c r="D9"/>
  <c r="H9" i="10"/>
  <c r="D9" i="13"/>
  <c r="H9" s="1"/>
  <c r="H7" i="12"/>
  <c r="H19" i="10"/>
  <c r="D19" i="12"/>
  <c r="H13" i="10"/>
  <c r="D13" i="12"/>
  <c r="D21"/>
  <c r="H21" i="10"/>
  <c r="D17" i="12"/>
  <c r="H17" i="10"/>
  <c r="D15" i="12"/>
  <c r="H15" i="10"/>
  <c r="J23"/>
  <c r="J3" i="12"/>
  <c r="H23" i="8"/>
  <c r="F18" i="12"/>
  <c r="H18" i="10"/>
  <c r="F4" i="12"/>
  <c r="H4" i="10"/>
  <c r="F28"/>
  <c r="F8" i="11"/>
  <c r="H8" i="9"/>
  <c r="F27"/>
  <c r="F23"/>
  <c r="D6" i="10"/>
  <c r="H6" i="11"/>
  <c r="D23"/>
  <c r="H12" i="10"/>
  <c r="D12" i="12"/>
  <c r="D22"/>
  <c r="H22" i="10"/>
  <c r="D28"/>
  <c r="F10"/>
  <c r="H10" i="11"/>
  <c r="F26"/>
  <c r="H20"/>
  <c r="F20" i="10"/>
  <c r="H28" i="11"/>
  <c r="D11" i="10"/>
  <c r="H11" i="11"/>
  <c r="D26"/>
  <c r="F14" i="10"/>
  <c r="H14" i="11"/>
  <c r="H25" s="1"/>
  <c r="F25"/>
  <c r="L23"/>
  <c r="M4"/>
  <c r="L4" i="10"/>
  <c r="H16" i="12" l="1"/>
  <c r="D18" i="13"/>
  <c r="H18" s="1"/>
  <c r="H3" i="12"/>
  <c r="F5" i="13"/>
  <c r="H5" s="1"/>
  <c r="D17"/>
  <c r="H17" s="1"/>
  <c r="H15" i="12"/>
  <c r="D19" i="13"/>
  <c r="H19" s="1"/>
  <c r="H17" i="12"/>
  <c r="D23" i="13"/>
  <c r="H23" s="1"/>
  <c r="H21" i="12"/>
  <c r="D11" i="13"/>
  <c r="H11" s="1"/>
  <c r="H9" i="12"/>
  <c r="J5" i="13"/>
  <c r="J25" s="1"/>
  <c r="J23" i="12"/>
  <c r="D15" i="13"/>
  <c r="H15" s="1"/>
  <c r="H13" i="12"/>
  <c r="H19"/>
  <c r="D21" i="13"/>
  <c r="H21" s="1"/>
  <c r="F14" i="12"/>
  <c r="H14" i="10"/>
  <c r="H20"/>
  <c r="F20" i="12"/>
  <c r="F10"/>
  <c r="H10" i="10"/>
  <c r="F26"/>
  <c r="H12" i="12"/>
  <c r="D14" i="13"/>
  <c r="H6" i="10"/>
  <c r="D6" i="12"/>
  <c r="D23" i="10"/>
  <c r="F8"/>
  <c r="H8" i="11"/>
  <c r="F27"/>
  <c r="F23"/>
  <c r="F6" i="13"/>
  <c r="H4" i="12"/>
  <c r="F28"/>
  <c r="F20" i="13"/>
  <c r="H20" s="1"/>
  <c r="H18" i="12"/>
  <c r="L4"/>
  <c r="L23" i="10"/>
  <c r="M4"/>
  <c r="D11" i="12"/>
  <c r="H11" i="10"/>
  <c r="D26"/>
  <c r="D24" i="13"/>
  <c r="H22" i="12"/>
  <c r="D28"/>
  <c r="H27" i="9"/>
  <c r="H23"/>
  <c r="H28" i="10"/>
  <c r="H26" i="11"/>
  <c r="H24" i="13" l="1"/>
  <c r="D31"/>
  <c r="M4" i="12"/>
  <c r="L6" i="13"/>
  <c r="L23" i="12"/>
  <c r="H6" i="13"/>
  <c r="F31"/>
  <c r="F8" i="12"/>
  <c r="H8" i="10"/>
  <c r="F27"/>
  <c r="F23"/>
  <c r="D8" i="13"/>
  <c r="H6" i="12"/>
  <c r="D23"/>
  <c r="H14" i="13"/>
  <c r="D28"/>
  <c r="F12"/>
  <c r="H10" i="12"/>
  <c r="F26"/>
  <c r="F16" i="13"/>
  <c r="H14" i="12"/>
  <c r="H11"/>
  <c r="D13" i="13"/>
  <c r="D26" i="12"/>
  <c r="H28"/>
  <c r="H27" i="11"/>
  <c r="H23"/>
  <c r="F22" i="13"/>
  <c r="H22" s="1"/>
  <c r="H20" i="12"/>
  <c r="H26" i="10"/>
  <c r="H16" i="13" l="1"/>
  <c r="H28" s="1"/>
  <c r="F28"/>
  <c r="H8"/>
  <c r="D25"/>
  <c r="H8" i="12"/>
  <c r="F10" i="13"/>
  <c r="F27" i="12"/>
  <c r="F23"/>
  <c r="H13" i="13"/>
  <c r="D29"/>
  <c r="H12"/>
  <c r="H29" s="1"/>
  <c r="F29"/>
  <c r="H27" i="10"/>
  <c r="H23"/>
  <c r="H31" i="13"/>
  <c r="M6"/>
  <c r="L25"/>
  <c r="H26" i="12"/>
  <c r="H27" l="1"/>
  <c r="H23"/>
  <c r="H10" i="13"/>
  <c r="F30"/>
  <c r="F25"/>
  <c r="H30" l="1"/>
  <c r="H25"/>
</calcChain>
</file>

<file path=xl/sharedStrings.xml><?xml version="1.0" encoding="utf-8"?>
<sst xmlns="http://schemas.openxmlformats.org/spreadsheetml/2006/main" count="279" uniqueCount="56">
  <si>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</si>
  <si>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</si>
  <si>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</si>
  <si>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</si>
  <si>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</si>
  <si>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</si>
  <si>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</si>
  <si>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</si>
  <si>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</si>
  <si>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</si>
  <si>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</si>
  <si>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</si>
  <si>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</si>
  <si>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Отопление</t>
  </si>
  <si>
    <t xml:space="preserve">Содер общ им </t>
  </si>
  <si>
    <t>Горячее водоснабжение</t>
  </si>
  <si>
    <t>Газ</t>
  </si>
  <si>
    <t>Холодная вода</t>
  </si>
  <si>
    <t>Энгельса д.54</t>
  </si>
  <si>
    <t>Энгельса д. 54</t>
  </si>
  <si>
    <t>Энгельса 54</t>
  </si>
  <si>
    <t>Содержание общ.имущ.дома</t>
  </si>
  <si>
    <t>Уборка и сан.очистка зем.уч.</t>
  </si>
  <si>
    <t>Электроснабжение(инд.потр)</t>
  </si>
  <si>
    <t>Канализирование х.воды</t>
  </si>
  <si>
    <t>Канализирование г.воды</t>
  </si>
  <si>
    <t>Тек.рем.общ.имущ.дома</t>
  </si>
  <si>
    <t>Сод.и тек.рем.в/дом.газосн</t>
  </si>
  <si>
    <t>Управление многокв.домом</t>
  </si>
  <si>
    <t>Водоотведение(кв)</t>
  </si>
  <si>
    <t>Эксплуатация общед.ПУ</t>
  </si>
  <si>
    <t>Водоотведение(о/д нужды)</t>
  </si>
  <si>
    <t>Отопление(о/д нужды)</t>
  </si>
  <si>
    <t>Электроснабжение(общед.нужды)</t>
  </si>
  <si>
    <t>Хол. водоснаб(о/д нужды)</t>
  </si>
  <si>
    <t>форма 22</t>
  </si>
  <si>
    <t>Капитальный ремонт</t>
  </si>
  <si>
    <t>водоканал</t>
  </si>
  <si>
    <t>ПСК</t>
  </si>
  <si>
    <t>ГУПТЭК</t>
  </si>
  <si>
    <t>Гор. Водоснабж. (о/д нужды)</t>
  </si>
  <si>
    <t>Сентябрь</t>
  </si>
  <si>
    <t xml:space="preserve">Отчет  по квартплате и коммунальным услугам </t>
  </si>
  <si>
    <t>за Декабрь 2018г.</t>
  </si>
  <si>
    <t>Январь 2018г.</t>
  </si>
  <si>
    <t>Февраль 2018г</t>
  </si>
  <si>
    <t>Апрель 2018г</t>
  </si>
  <si>
    <t>Март 2018г.</t>
  </si>
  <si>
    <t>Май 2018г.</t>
  </si>
  <si>
    <t>Июнь  2018г.</t>
  </si>
  <si>
    <t>Июль  2018г.</t>
  </si>
  <si>
    <t>Август   2018г.</t>
  </si>
  <si>
    <t xml:space="preserve">  2018г.</t>
  </si>
  <si>
    <t>Октябрь  2018г</t>
  </si>
  <si>
    <t>Ноябрь  2018г.</t>
  </si>
  <si>
    <t>за Январь 2019г.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</si>
</sst>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_ ;[Red]\-0.00\ "/>
    <numFmt numFmtId="166" formatCode="#,##0.00\ _₽"/>
  </numFmts>
  <fonts count="8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" fontId="0" fillId="0" borderId="0" xfId="0" applyNumberFormat="1"/>
    <xf numFmtId="0" fontId="2" fillId="0" borderId="0" xfId="0" applyFont="1"/>
    <xf numFmtId="165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wrapText="1" shrinkToFi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shrinkToFit="1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0" fontId="2" fillId="2" borderId="1" xfId="0" applyFont="1" applyFill="1" applyBorder="1" applyAlignment="1">
      <alignment horizontal="center" wrapText="1" shrinkToFit="1"/>
    </xf>
    <xf numFmtId="0" fontId="2" fillId="2" borderId="1" xfId="0" applyFont="1" applyFill="1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0" borderId="0" xfId="0" applyAlignment="1">
      <alignment wrapText="1"/>
    </xf>
    <xf numFmtId="165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shrinkToFit="1"/>
    </xf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 shrinkToFit="1"/>
    </xf>
    <xf numFmtId="165" fontId="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wrapText="1" shrinkToFi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wrapText="1" shrinkToFit="1"/>
    </xf>
    <xf numFmtId="0" fontId="4" fillId="2" borderId="1" xfId="0" applyFont="1" applyFill="1" applyBorder="1" applyAlignment="1">
      <alignment wrapText="1" shrinkToFit="1"/>
    </xf>
    <xf numFmtId="0" fontId="4" fillId="0" borderId="0" xfId="0" applyFont="1" applyAlignment="1">
      <alignment wrapText="1"/>
    </xf>
    <xf numFmtId="0" fontId="4" fillId="0" borderId="1" xfId="0" applyFont="1" applyBorder="1"/>
    <xf numFmtId="2" fontId="4" fillId="2" borderId="1" xfId="0" applyNumberFormat="1" applyFont="1" applyFill="1" applyBorder="1" applyAlignment="1">
      <alignment horizontal="left" wrapText="1" shrinkToFit="1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/>
    <xf numFmtId="165" fontId="4" fillId="2" borderId="1" xfId="0" applyNumberFormat="1" applyFont="1" applyFill="1" applyBorder="1"/>
    <xf numFmtId="165" fontId="4" fillId="0" borderId="0" xfId="0" applyNumberFormat="1" applyFont="1"/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shrinkToFit="1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/>
    <xf numFmtId="164" fontId="0" fillId="0" borderId="0" xfId="1" applyFont="1"/>
    <xf numFmtId="164" fontId="2" fillId="0" borderId="0" xfId="1" applyFont="1"/>
    <xf numFmtId="0" fontId="0" fillId="4" borderId="0" xfId="0" applyFill="1" applyBorder="1"/>
    <xf numFmtId="2" fontId="0" fillId="4" borderId="0" xfId="0" applyNumberFormat="1" applyFill="1" applyBorder="1" applyAlignment="1">
      <alignment horizontal="center" shrinkToFit="1"/>
    </xf>
    <xf numFmtId="0" fontId="1" fillId="0" borderId="0" xfId="0" applyFont="1"/>
    <xf numFmtId="0" fontId="0" fillId="0" borderId="0" xfId="0" applyFill="1"/>
    <xf numFmtId="2" fontId="7" fillId="2" borderId="1" xfId="0" applyNumberFormat="1" applyFont="1" applyFill="1" applyBorder="1" applyAlignment="1">
      <alignment horizontal="left" wrapText="1" shrinkToFit="1"/>
    </xf>
    <xf numFmtId="2" fontId="0" fillId="0" borderId="0" xfId="0" applyNumberFormat="1"/>
    <xf numFmtId="0" fontId="1" fillId="0" borderId="0" xfId="0" applyFont="1" applyFill="1"/>
    <xf numFmtId="166" fontId="0" fillId="0" borderId="1" xfId="1" applyNumberFormat="1" applyFon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0" borderId="1" xfId="1" applyNumberFormat="1" applyFont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vertical="center"/>
    </xf>
    <xf numFmtId="166" fontId="0" fillId="4" borderId="0" xfId="1" applyNumberFormat="1" applyFon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166" fontId="0" fillId="4" borderId="0" xfId="1" applyNumberFormat="1" applyFont="1" applyFill="1" applyBorder="1" applyAlignment="1">
      <alignment vertical="center"/>
    </xf>
    <xf numFmtId="166" fontId="0" fillId="4" borderId="0" xfId="0" applyNumberForma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0" fillId="3" borderId="1" xfId="0" applyNumberFormat="1" applyFill="1" applyBorder="1" applyAlignment="1">
      <alignment vertical="center"/>
    </xf>
    <xf numFmtId="166" fontId="0" fillId="0" borderId="0" xfId="1" applyNumberFormat="1" applyFont="1" applyAlignment="1">
      <alignment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6" fontId="2" fillId="2" borderId="1" xfId="1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opLeftCell="B1" workbookViewId="0">
      <selection activeCell="B1" sqref="B1"/>
    </sheetView>
  </sheetViews>
  <sheetFormatPr defaultRowHeight="12.75"/>
  <cols>
    <col min="1" max="1" width="5.7109375" customWidth="1"/>
    <col min="2" max="2" width="30.85546875" customWidth="1"/>
    <col min="3" max="3" width="10.85546875" customWidth="1"/>
    <col min="4" max="4" width="12" customWidth="1"/>
    <col min="5" max="5" width="10.28515625" customWidth="1"/>
    <col min="6" max="6" width="10.42578125" customWidth="1"/>
    <col min="7" max="7" width="10.85546875" customWidth="1"/>
    <col min="8" max="8" width="11.140625" customWidth="1"/>
    <col min="9" max="9" width="10.140625" bestFit="1" customWidth="1"/>
    <col min="10" max="10" width="10.5703125" customWidth="1"/>
    <col min="11" max="11" width="10.7109375" customWidth="1"/>
    <col min="12" max="12" width="11.42578125" customWidth="1"/>
    <col min="13" max="13" width="11" customWidth="1"/>
  </cols>
  <sheetData>
    <row r="1" spans="1:13" ht="24" customHeight="1">
      <c r="B1" s="11" t="s">
        <v>20</v>
      </c>
      <c r="C1" s="68" t="s">
        <v>44</v>
      </c>
    </row>
    <row r="2" spans="1:13" s="29" customFormat="1" ht="38.25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>
      <c r="A3" s="1">
        <v>1</v>
      </c>
      <c r="B3" s="37" t="s">
        <v>21</v>
      </c>
      <c r="C3" s="8">
        <f>4093.72+16264.19</f>
        <v>20357.91</v>
      </c>
      <c r="D3" s="36">
        <f>C3</f>
        <v>20357.91</v>
      </c>
      <c r="E3" s="9">
        <f>1983.5+10066.96</f>
        <v>12050.46</v>
      </c>
      <c r="F3" s="36">
        <f>E3</f>
        <v>12050.46</v>
      </c>
      <c r="G3" s="19">
        <f>E3-C3</f>
        <v>-8307.4500000000007</v>
      </c>
      <c r="H3" s="20">
        <f>F3-D3</f>
        <v>-8307.4500000000007</v>
      </c>
      <c r="I3" s="9"/>
      <c r="J3" s="20">
        <f>I3</f>
        <v>0</v>
      </c>
      <c r="K3" s="8"/>
      <c r="L3" s="36">
        <f>K3</f>
        <v>0</v>
      </c>
    </row>
    <row r="4" spans="1:13">
      <c r="A4" s="1">
        <f>A3+1</f>
        <v>2</v>
      </c>
      <c r="B4" s="37" t="s">
        <v>13</v>
      </c>
      <c r="C4" s="8">
        <f>13258.12+52674.05</f>
        <v>65932.17</v>
      </c>
      <c r="D4" s="36">
        <f t="shared" ref="D4:D22" si="0">C4</f>
        <v>65932.17</v>
      </c>
      <c r="E4" s="9">
        <f>5986.46+27225.25</f>
        <v>33211.71</v>
      </c>
      <c r="F4" s="36">
        <f t="shared" ref="F4:F22" si="1">E4</f>
        <v>33211.71</v>
      </c>
      <c r="G4" s="19">
        <f t="shared" ref="G4:G22" si="2">E4-C4</f>
        <v>-32720.46</v>
      </c>
      <c r="H4" s="20">
        <f t="shared" ref="H4:H22" si="3">F4-D4</f>
        <v>-32720.46</v>
      </c>
      <c r="I4" s="9"/>
      <c r="J4" s="20">
        <f t="shared" ref="J4:J22" si="4">I4</f>
        <v>0</v>
      </c>
      <c r="K4" s="8"/>
      <c r="L4" s="36">
        <f t="shared" ref="L4:L22" si="5">K4</f>
        <v>0</v>
      </c>
      <c r="M4" s="12">
        <f>L4-J4</f>
        <v>0</v>
      </c>
    </row>
    <row r="5" spans="1:13">
      <c r="A5" s="1">
        <f t="shared" ref="A5:A22" si="6">A4+1</f>
        <v>3</v>
      </c>
      <c r="B5" s="37" t="s">
        <v>15</v>
      </c>
      <c r="C5" s="8">
        <f>3638+12992.97</f>
        <v>16630.97</v>
      </c>
      <c r="D5" s="36">
        <f t="shared" si="0"/>
        <v>16630.97</v>
      </c>
      <c r="E5" s="9">
        <f>1731.33+10361.2</f>
        <v>12092.53</v>
      </c>
      <c r="F5" s="36">
        <f t="shared" si="1"/>
        <v>12092.53</v>
      </c>
      <c r="G5" s="19">
        <f t="shared" si="2"/>
        <v>-4538.4400000000005</v>
      </c>
      <c r="H5" s="20">
        <f t="shared" si="3"/>
        <v>-4538.4400000000005</v>
      </c>
      <c r="I5" s="9"/>
      <c r="J5" s="20">
        <f t="shared" si="4"/>
        <v>0</v>
      </c>
      <c r="K5" s="8"/>
      <c r="L5" s="36">
        <f t="shared" si="5"/>
        <v>0</v>
      </c>
    </row>
    <row r="6" spans="1:13">
      <c r="A6" s="1">
        <f t="shared" si="6"/>
        <v>4</v>
      </c>
      <c r="B6" s="37" t="s">
        <v>16</v>
      </c>
      <c r="C6" s="8">
        <v>0</v>
      </c>
      <c r="D6" s="36">
        <f t="shared" si="0"/>
        <v>0</v>
      </c>
      <c r="E6" s="9">
        <v>0</v>
      </c>
      <c r="F6" s="36">
        <f t="shared" si="1"/>
        <v>0</v>
      </c>
      <c r="G6" s="19">
        <f t="shared" si="2"/>
        <v>0</v>
      </c>
      <c r="H6" s="20">
        <f t="shared" si="3"/>
        <v>0</v>
      </c>
      <c r="I6" s="9"/>
      <c r="J6" s="20">
        <f t="shared" si="4"/>
        <v>0</v>
      </c>
      <c r="K6" s="8"/>
      <c r="L6" s="36">
        <f t="shared" si="5"/>
        <v>0</v>
      </c>
    </row>
    <row r="7" spans="1:13">
      <c r="A7" s="1">
        <f t="shared" si="6"/>
        <v>5</v>
      </c>
      <c r="B7" s="37" t="s">
        <v>22</v>
      </c>
      <c r="C7" s="8">
        <f>629.55+2501.15</f>
        <v>3130.7</v>
      </c>
      <c r="D7" s="36">
        <f t="shared" si="0"/>
        <v>3130.7</v>
      </c>
      <c r="E7" s="9">
        <f>305.03+1548.12</f>
        <v>1853.1499999999999</v>
      </c>
      <c r="F7" s="36">
        <f t="shared" si="1"/>
        <v>1853.1499999999999</v>
      </c>
      <c r="G7" s="19">
        <f t="shared" si="2"/>
        <v>-1277.55</v>
      </c>
      <c r="H7" s="20">
        <f t="shared" si="3"/>
        <v>-1277.55</v>
      </c>
      <c r="I7" s="9"/>
      <c r="J7" s="20">
        <f t="shared" si="4"/>
        <v>0</v>
      </c>
      <c r="K7" s="8"/>
      <c r="L7" s="36">
        <f t="shared" si="5"/>
        <v>0</v>
      </c>
    </row>
    <row r="8" spans="1:13" ht="15.75" customHeight="1">
      <c r="A8" s="1">
        <f t="shared" si="6"/>
        <v>6</v>
      </c>
      <c r="B8" s="37" t="s">
        <v>23</v>
      </c>
      <c r="C8" s="8">
        <f>5416.2+21076.2</f>
        <v>26492.400000000001</v>
      </c>
      <c r="D8" s="36">
        <f t="shared" si="0"/>
        <v>26492.400000000001</v>
      </c>
      <c r="E8" s="9">
        <f>2367.23+12218.55</f>
        <v>14585.779999999999</v>
      </c>
      <c r="F8" s="36">
        <f t="shared" si="1"/>
        <v>14585.779999999999</v>
      </c>
      <c r="G8" s="19">
        <f t="shared" si="2"/>
        <v>-11906.620000000003</v>
      </c>
      <c r="H8" s="20">
        <f t="shared" si="3"/>
        <v>-11906.620000000003</v>
      </c>
      <c r="I8" s="9"/>
      <c r="J8" s="20">
        <f t="shared" si="4"/>
        <v>0</v>
      </c>
      <c r="K8" s="8"/>
      <c r="L8" s="36">
        <f t="shared" si="5"/>
        <v>0</v>
      </c>
    </row>
    <row r="9" spans="1:13">
      <c r="A9" s="1">
        <f t="shared" si="6"/>
        <v>7</v>
      </c>
      <c r="B9" s="37" t="s">
        <v>17</v>
      </c>
      <c r="C9" s="8">
        <f>1352.76+5287.07</f>
        <v>6639.83</v>
      </c>
      <c r="D9" s="36">
        <f t="shared" si="0"/>
        <v>6639.83</v>
      </c>
      <c r="E9" s="9">
        <f>621.91+3359.96</f>
        <v>3981.87</v>
      </c>
      <c r="F9" s="36">
        <f t="shared" si="1"/>
        <v>3981.87</v>
      </c>
      <c r="G9" s="19">
        <f t="shared" si="2"/>
        <v>-2657.96</v>
      </c>
      <c r="H9" s="20">
        <f t="shared" si="3"/>
        <v>-2657.96</v>
      </c>
      <c r="I9" s="9"/>
      <c r="J9" s="20">
        <f t="shared" si="4"/>
        <v>0</v>
      </c>
      <c r="K9" s="8"/>
      <c r="L9" s="36">
        <f t="shared" si="5"/>
        <v>0</v>
      </c>
    </row>
    <row r="10" spans="1:13">
      <c r="A10" s="1">
        <f t="shared" si="6"/>
        <v>8</v>
      </c>
      <c r="B10" s="37" t="s">
        <v>24</v>
      </c>
      <c r="C10" s="8">
        <v>0</v>
      </c>
      <c r="D10" s="36">
        <f t="shared" si="0"/>
        <v>0</v>
      </c>
      <c r="E10" s="9">
        <v>0</v>
      </c>
      <c r="F10" s="36">
        <f t="shared" si="1"/>
        <v>0</v>
      </c>
      <c r="G10" s="19">
        <f t="shared" si="2"/>
        <v>0</v>
      </c>
      <c r="H10" s="20">
        <f t="shared" si="3"/>
        <v>0</v>
      </c>
      <c r="I10" s="9"/>
      <c r="J10" s="20">
        <f t="shared" si="4"/>
        <v>0</v>
      </c>
      <c r="K10" s="8"/>
      <c r="L10" s="36">
        <f t="shared" si="5"/>
        <v>0</v>
      </c>
    </row>
    <row r="11" spans="1:13">
      <c r="A11" s="1">
        <f t="shared" si="6"/>
        <v>9</v>
      </c>
      <c r="B11" s="37" t="s">
        <v>25</v>
      </c>
      <c r="C11" s="8">
        <v>0</v>
      </c>
      <c r="D11" s="36">
        <f t="shared" si="0"/>
        <v>0</v>
      </c>
      <c r="E11" s="9">
        <v>0</v>
      </c>
      <c r="F11" s="36">
        <f t="shared" si="1"/>
        <v>0</v>
      </c>
      <c r="G11" s="19">
        <f t="shared" si="2"/>
        <v>0</v>
      </c>
      <c r="H11" s="20">
        <f t="shared" si="3"/>
        <v>0</v>
      </c>
      <c r="I11" s="9"/>
      <c r="J11" s="20">
        <f t="shared" si="4"/>
        <v>0</v>
      </c>
      <c r="K11" s="8"/>
      <c r="L11" s="36">
        <f t="shared" si="5"/>
        <v>0</v>
      </c>
    </row>
    <row r="12" spans="1:13">
      <c r="A12" s="1">
        <f t="shared" si="6"/>
        <v>10</v>
      </c>
      <c r="B12" s="37" t="s">
        <v>26</v>
      </c>
      <c r="C12" s="8">
        <f>2136.29+8487.49</f>
        <v>10623.779999999999</v>
      </c>
      <c r="D12" s="36">
        <f t="shared" si="0"/>
        <v>10623.779999999999</v>
      </c>
      <c r="E12" s="9">
        <f>1035.07+5253.45</f>
        <v>6288.5199999999995</v>
      </c>
      <c r="F12" s="36">
        <f t="shared" si="1"/>
        <v>6288.5199999999995</v>
      </c>
      <c r="G12" s="19">
        <f t="shared" si="2"/>
        <v>-4335.2599999999993</v>
      </c>
      <c r="H12" s="20">
        <f t="shared" si="3"/>
        <v>-4335.2599999999993</v>
      </c>
      <c r="I12" s="9"/>
      <c r="J12" s="20">
        <f t="shared" si="4"/>
        <v>0</v>
      </c>
      <c r="K12" s="8"/>
      <c r="L12" s="36">
        <f t="shared" si="5"/>
        <v>0</v>
      </c>
    </row>
    <row r="13" spans="1:13">
      <c r="A13" s="1">
        <f t="shared" si="6"/>
        <v>11</v>
      </c>
      <c r="B13" s="37" t="s">
        <v>27</v>
      </c>
      <c r="C13" s="8">
        <f>222.88+913.93</f>
        <v>1136.81</v>
      </c>
      <c r="D13" s="36">
        <f t="shared" si="0"/>
        <v>1136.81</v>
      </c>
      <c r="E13" s="9">
        <f>113.34+564.66</f>
        <v>678</v>
      </c>
      <c r="F13" s="36">
        <f t="shared" si="1"/>
        <v>678</v>
      </c>
      <c r="G13" s="19">
        <f t="shared" si="2"/>
        <v>-458.80999999999995</v>
      </c>
      <c r="H13" s="20">
        <f t="shared" si="3"/>
        <v>-458.80999999999995</v>
      </c>
      <c r="I13" s="9"/>
      <c r="J13" s="20">
        <f t="shared" si="4"/>
        <v>0</v>
      </c>
      <c r="K13" s="8"/>
      <c r="L13" s="36">
        <f t="shared" si="5"/>
        <v>0</v>
      </c>
    </row>
    <row r="14" spans="1:13">
      <c r="A14" s="1">
        <f t="shared" si="6"/>
        <v>12</v>
      </c>
      <c r="B14" s="37" t="s">
        <v>28</v>
      </c>
      <c r="C14" s="8">
        <f>884.11+3512.54</f>
        <v>4396.6499999999996</v>
      </c>
      <c r="D14" s="36">
        <f t="shared" si="0"/>
        <v>4396.6499999999996</v>
      </c>
      <c r="E14" s="9">
        <f>428.37+2174.12</f>
        <v>2602.4899999999998</v>
      </c>
      <c r="F14" s="36">
        <f t="shared" si="1"/>
        <v>2602.4899999999998</v>
      </c>
      <c r="G14" s="19">
        <f t="shared" si="2"/>
        <v>-1794.1599999999999</v>
      </c>
      <c r="H14" s="20">
        <f t="shared" si="3"/>
        <v>-1794.1599999999999</v>
      </c>
      <c r="I14" s="9"/>
      <c r="J14" s="20">
        <f t="shared" si="4"/>
        <v>0</v>
      </c>
      <c r="K14" s="8"/>
      <c r="L14" s="36">
        <f t="shared" si="5"/>
        <v>0</v>
      </c>
    </row>
    <row r="15" spans="1:13">
      <c r="A15" s="1">
        <f t="shared" si="6"/>
        <v>13</v>
      </c>
      <c r="B15" s="37" t="s">
        <v>29</v>
      </c>
      <c r="C15" s="8">
        <f>2363.76+8897.84</f>
        <v>11261.6</v>
      </c>
      <c r="D15" s="36">
        <f t="shared" si="0"/>
        <v>11261.6</v>
      </c>
      <c r="E15" s="9">
        <f>1103.04+6239.3</f>
        <v>7342.34</v>
      </c>
      <c r="F15" s="36">
        <f t="shared" si="1"/>
        <v>7342.34</v>
      </c>
      <c r="G15" s="19">
        <f t="shared" si="2"/>
        <v>-3919.26</v>
      </c>
      <c r="H15" s="20">
        <f t="shared" si="3"/>
        <v>-3919.26</v>
      </c>
      <c r="I15" s="9"/>
      <c r="J15" s="20">
        <f t="shared" si="4"/>
        <v>0</v>
      </c>
      <c r="K15" s="8"/>
      <c r="L15" s="36">
        <f t="shared" si="5"/>
        <v>0</v>
      </c>
    </row>
    <row r="16" spans="1:13">
      <c r="A16" s="1">
        <f t="shared" si="6"/>
        <v>14</v>
      </c>
      <c r="B16" s="37" t="s">
        <v>30</v>
      </c>
      <c r="C16" s="8">
        <f>227.07+902.09</f>
        <v>1129.1600000000001</v>
      </c>
      <c r="D16" s="36">
        <f t="shared" si="0"/>
        <v>1129.1600000000001</v>
      </c>
      <c r="E16" s="9">
        <f>110.01+558.37</f>
        <v>668.38</v>
      </c>
      <c r="F16" s="36">
        <f t="shared" si="1"/>
        <v>668.38</v>
      </c>
      <c r="G16" s="19">
        <f t="shared" si="2"/>
        <v>-460.78000000000009</v>
      </c>
      <c r="H16" s="20">
        <f t="shared" si="3"/>
        <v>-460.78000000000009</v>
      </c>
      <c r="I16" s="9"/>
      <c r="J16" s="20">
        <f t="shared" si="4"/>
        <v>0</v>
      </c>
      <c r="K16" s="8"/>
      <c r="L16" s="36">
        <f t="shared" si="5"/>
        <v>0</v>
      </c>
    </row>
    <row r="17" spans="1:12">
      <c r="A17" s="1">
        <f t="shared" si="6"/>
        <v>15</v>
      </c>
      <c r="B17" s="37" t="s">
        <v>34</v>
      </c>
      <c r="C17" s="8">
        <f>103.58+411</f>
        <v>514.58000000000004</v>
      </c>
      <c r="D17" s="36">
        <f t="shared" si="0"/>
        <v>514.58000000000004</v>
      </c>
      <c r="E17" s="9">
        <f>50.1+254.59</f>
        <v>304.69</v>
      </c>
      <c r="F17" s="36">
        <f t="shared" si="1"/>
        <v>304.69</v>
      </c>
      <c r="G17" s="19">
        <f t="shared" si="2"/>
        <v>-209.89000000000004</v>
      </c>
      <c r="H17" s="20">
        <f t="shared" si="3"/>
        <v>-209.89000000000004</v>
      </c>
      <c r="I17" s="9"/>
      <c r="J17" s="20">
        <f t="shared" si="4"/>
        <v>0</v>
      </c>
      <c r="K17" s="8"/>
      <c r="L17" s="36">
        <f t="shared" si="5"/>
        <v>0</v>
      </c>
    </row>
    <row r="18" spans="1:12">
      <c r="A18" s="1">
        <f t="shared" si="6"/>
        <v>16</v>
      </c>
      <c r="B18" s="37" t="s">
        <v>31</v>
      </c>
      <c r="C18" s="8">
        <f>0</f>
        <v>0</v>
      </c>
      <c r="D18" s="36">
        <f t="shared" si="0"/>
        <v>0</v>
      </c>
      <c r="E18" s="9">
        <v>0</v>
      </c>
      <c r="F18" s="36">
        <f t="shared" si="1"/>
        <v>0</v>
      </c>
      <c r="G18" s="19">
        <f t="shared" si="2"/>
        <v>0</v>
      </c>
      <c r="H18" s="20">
        <f t="shared" si="3"/>
        <v>0</v>
      </c>
      <c r="I18" s="9"/>
      <c r="J18" s="20">
        <f t="shared" si="4"/>
        <v>0</v>
      </c>
      <c r="K18" s="8"/>
      <c r="L18" s="36">
        <f t="shared" si="5"/>
        <v>0</v>
      </c>
    </row>
    <row r="19" spans="1:12">
      <c r="A19" s="1">
        <f t="shared" si="6"/>
        <v>17</v>
      </c>
      <c r="B19" s="37" t="s">
        <v>32</v>
      </c>
      <c r="C19" s="8">
        <v>0</v>
      </c>
      <c r="D19" s="36">
        <f t="shared" si="0"/>
        <v>0</v>
      </c>
      <c r="E19" s="9">
        <v>0</v>
      </c>
      <c r="F19" s="36">
        <f t="shared" si="1"/>
        <v>0</v>
      </c>
      <c r="G19" s="19">
        <f t="shared" si="2"/>
        <v>0</v>
      </c>
      <c r="H19" s="20">
        <f t="shared" si="3"/>
        <v>0</v>
      </c>
      <c r="I19" s="9"/>
      <c r="J19" s="20">
        <f t="shared" si="4"/>
        <v>0</v>
      </c>
      <c r="K19" s="8"/>
      <c r="L19" s="36">
        <f t="shared" si="5"/>
        <v>0</v>
      </c>
    </row>
    <row r="20" spans="1:12" ht="16.5" customHeight="1">
      <c r="A20" s="1">
        <f t="shared" si="6"/>
        <v>18</v>
      </c>
      <c r="B20" s="38" t="s">
        <v>33</v>
      </c>
      <c r="C20" s="8">
        <f>2396.11+7029.06+2194.47</f>
        <v>11619.64</v>
      </c>
      <c r="D20" s="36">
        <f t="shared" si="0"/>
        <v>11619.64</v>
      </c>
      <c r="E20" s="9">
        <f>1339.89+4424.05+1801.47</f>
        <v>7565.4100000000008</v>
      </c>
      <c r="F20" s="36">
        <f t="shared" si="1"/>
        <v>7565.4100000000008</v>
      </c>
      <c r="G20" s="19">
        <f t="shared" si="2"/>
        <v>-4054.2299999999987</v>
      </c>
      <c r="H20" s="20">
        <f t="shared" si="3"/>
        <v>-4054.2299999999987</v>
      </c>
      <c r="I20" s="9"/>
      <c r="J20" s="20">
        <f t="shared" si="4"/>
        <v>0</v>
      </c>
      <c r="K20" s="8"/>
      <c r="L20" s="36">
        <f t="shared" si="5"/>
        <v>0</v>
      </c>
    </row>
    <row r="21" spans="1:12">
      <c r="A21" s="1">
        <f t="shared" si="6"/>
        <v>19</v>
      </c>
      <c r="B21" s="18" t="s">
        <v>36</v>
      </c>
      <c r="C21" s="8">
        <v>0</v>
      </c>
      <c r="D21" s="36"/>
      <c r="E21" s="9">
        <v>0</v>
      </c>
      <c r="F21" s="36">
        <f t="shared" si="1"/>
        <v>0</v>
      </c>
      <c r="G21" s="19">
        <f t="shared" si="2"/>
        <v>0</v>
      </c>
      <c r="H21" s="20">
        <f t="shared" si="3"/>
        <v>0</v>
      </c>
      <c r="I21" s="9"/>
      <c r="J21" s="20">
        <f t="shared" si="4"/>
        <v>0</v>
      </c>
      <c r="K21" s="8"/>
      <c r="L21" s="36">
        <f t="shared" si="5"/>
        <v>0</v>
      </c>
    </row>
    <row r="22" spans="1:12">
      <c r="A22" s="1">
        <f t="shared" si="6"/>
        <v>20</v>
      </c>
      <c r="B22" s="18" t="s">
        <v>40</v>
      </c>
      <c r="C22" s="8">
        <f>229.66+917.67</f>
        <v>1147.33</v>
      </c>
      <c r="D22" s="36">
        <f t="shared" si="0"/>
        <v>1147.33</v>
      </c>
      <c r="E22" s="9">
        <f>111.8+566.94</f>
        <v>678.74</v>
      </c>
      <c r="F22" s="36">
        <f t="shared" si="1"/>
        <v>678.74</v>
      </c>
      <c r="G22" s="19">
        <f t="shared" si="2"/>
        <v>-468.58999999999992</v>
      </c>
      <c r="H22" s="20">
        <f t="shared" si="3"/>
        <v>-468.58999999999992</v>
      </c>
      <c r="I22" s="9"/>
      <c r="J22" s="20">
        <f t="shared" si="4"/>
        <v>0</v>
      </c>
      <c r="K22" s="8"/>
      <c r="L22" s="36">
        <f t="shared" si="5"/>
        <v>0</v>
      </c>
    </row>
    <row r="23" spans="1:12">
      <c r="A23" s="17"/>
      <c r="B23" s="32" t="s">
        <v>12</v>
      </c>
      <c r="C23" s="30">
        <f t="shared" ref="C23:L23" si="7">SUM(C3:C22)</f>
        <v>181013.52999999994</v>
      </c>
      <c r="D23" s="30">
        <f t="shared" si="7"/>
        <v>181013.52999999994</v>
      </c>
      <c r="E23" s="31">
        <f t="shared" si="7"/>
        <v>103904.07000000002</v>
      </c>
      <c r="F23" s="30">
        <f t="shared" si="7"/>
        <v>103904.07000000002</v>
      </c>
      <c r="G23" s="30">
        <f t="shared" si="7"/>
        <v>-77109.459999999992</v>
      </c>
      <c r="H23" s="31">
        <f t="shared" si="7"/>
        <v>-77109.459999999992</v>
      </c>
      <c r="I23" s="31">
        <f t="shared" si="7"/>
        <v>0</v>
      </c>
      <c r="J23" s="31">
        <f t="shared" si="7"/>
        <v>0</v>
      </c>
      <c r="K23" s="30">
        <f t="shared" si="7"/>
        <v>0</v>
      </c>
      <c r="L23" s="30">
        <f t="shared" si="7"/>
        <v>0</v>
      </c>
    </row>
    <row r="26" spans="1:12">
      <c r="B26" s="41" t="s">
        <v>37</v>
      </c>
      <c r="C26" s="42">
        <f>C9+C10+C11+C15+C17+C18</f>
        <v>18416.010000000002</v>
      </c>
      <c r="D26" s="42">
        <f t="shared" ref="D26:J26" si="8">D9+D10+D11+D15+D17+D18</f>
        <v>18416.010000000002</v>
      </c>
      <c r="E26" s="42">
        <f t="shared" si="8"/>
        <v>11628.9</v>
      </c>
      <c r="F26" s="42">
        <f t="shared" si="8"/>
        <v>11628.9</v>
      </c>
      <c r="G26" s="42">
        <f t="shared" si="8"/>
        <v>-6787.1100000000006</v>
      </c>
      <c r="H26" s="42">
        <f t="shared" si="8"/>
        <v>-6787.1100000000006</v>
      </c>
      <c r="I26" s="42">
        <f t="shared" si="8"/>
        <v>0</v>
      </c>
      <c r="J26" s="42">
        <f t="shared" si="8"/>
        <v>0</v>
      </c>
    </row>
    <row r="27" spans="1:12">
      <c r="B27" s="41" t="s">
        <v>38</v>
      </c>
      <c r="C27" s="42">
        <f>C8+C20</f>
        <v>38112.04</v>
      </c>
      <c r="D27" s="42">
        <f t="shared" ref="D27:J27" si="9">D8+D20</f>
        <v>38112.04</v>
      </c>
      <c r="E27" s="42">
        <f t="shared" si="9"/>
        <v>22151.19</v>
      </c>
      <c r="F27" s="42">
        <f t="shared" si="9"/>
        <v>22151.19</v>
      </c>
      <c r="G27" s="42">
        <f t="shared" si="9"/>
        <v>-15960.850000000002</v>
      </c>
      <c r="H27" s="42">
        <f t="shared" si="9"/>
        <v>-15960.850000000002</v>
      </c>
      <c r="I27" s="42">
        <f t="shared" si="9"/>
        <v>0</v>
      </c>
      <c r="J27" s="42">
        <f t="shared" si="9"/>
        <v>0</v>
      </c>
    </row>
    <row r="28" spans="1:12">
      <c r="B28" s="41" t="s">
        <v>39</v>
      </c>
      <c r="C28" s="42">
        <f>C4+C5+C19+C22</f>
        <v>83710.47</v>
      </c>
      <c r="D28" s="42">
        <f t="shared" ref="D28:J28" si="10">D4+D5+D19+D22</f>
        <v>83710.47</v>
      </c>
      <c r="E28" s="42">
        <f t="shared" si="10"/>
        <v>45982.979999999996</v>
      </c>
      <c r="F28" s="42">
        <f t="shared" si="10"/>
        <v>45982.979999999996</v>
      </c>
      <c r="G28" s="42">
        <f t="shared" si="10"/>
        <v>-37727.49</v>
      </c>
      <c r="H28" s="42">
        <f t="shared" si="10"/>
        <v>-37727.49</v>
      </c>
      <c r="I28" s="42">
        <f t="shared" si="10"/>
        <v>0</v>
      </c>
      <c r="J28" s="42">
        <f t="shared" si="10"/>
        <v>0</v>
      </c>
    </row>
    <row r="31" spans="1:12">
      <c r="C31">
        <f>144061.72+36951.81</f>
        <v>181013.53</v>
      </c>
      <c r="E31">
        <f>86616.99+17287.08</f>
        <v>103904.07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D36" sqref="D36"/>
    </sheetView>
  </sheetViews>
  <sheetFormatPr defaultRowHeight="12.75"/>
  <cols>
    <col min="1" max="1" width="4.140625" customWidth="1"/>
    <col min="2" max="2" width="30.42578125" customWidth="1"/>
    <col min="3" max="3" width="13" customWidth="1"/>
    <col min="4" max="4" width="14" customWidth="1"/>
    <col min="5" max="5" width="13.5703125" customWidth="1"/>
    <col min="6" max="6" width="12.28515625" customWidth="1"/>
    <col min="7" max="7" width="9.7109375" bestFit="1" customWidth="1"/>
    <col min="8" max="8" width="15" customWidth="1"/>
    <col min="9" max="9" width="11.7109375" customWidth="1"/>
    <col min="10" max="11" width="11.28515625" customWidth="1"/>
    <col min="12" max="12" width="13.42578125" customWidth="1"/>
    <col min="13" max="13" width="10.140625" bestFit="1" customWidth="1"/>
  </cols>
  <sheetData>
    <row r="1" spans="1:13">
      <c r="B1" s="11" t="s">
        <v>18</v>
      </c>
      <c r="C1" s="11" t="s">
        <v>53</v>
      </c>
    </row>
    <row r="2" spans="1:13" s="29" customFormat="1" ht="25.5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 ht="14.1" customHeight="1">
      <c r="A3" s="1">
        <v>1</v>
      </c>
      <c r="B3" s="39" t="str">
        <f>сентябрь!B3</f>
        <v>Содержание общ.имущ.дома</v>
      </c>
      <c r="C3" s="8">
        <f>3586.85+17712.05</f>
        <v>21298.899999999998</v>
      </c>
      <c r="D3" s="19">
        <f>C3+сентябрь!D3</f>
        <v>207411.24</v>
      </c>
      <c r="E3" s="8">
        <f>2287.91+15829.65</f>
        <v>18117.559999999998</v>
      </c>
      <c r="F3" s="19">
        <f>E3+сентябрь!F3</f>
        <v>187889.30000000002</v>
      </c>
      <c r="G3" s="19">
        <f>E3-C3</f>
        <v>-3181.34</v>
      </c>
      <c r="H3" s="20">
        <f>F3-D3</f>
        <v>-19521.939999999973</v>
      </c>
      <c r="I3" s="9"/>
      <c r="J3" s="20">
        <f>I3+сентябрь!J3</f>
        <v>0</v>
      </c>
      <c r="K3" s="8"/>
      <c r="L3" s="19">
        <f>K3+сентябрь!L3</f>
        <v>0</v>
      </c>
    </row>
    <row r="4" spans="1:13" ht="14.1" customHeight="1">
      <c r="A4" s="1">
        <f>A3+1</f>
        <v>2</v>
      </c>
      <c r="B4" s="39" t="str">
        <f>сентябрь!B4</f>
        <v>Отопление</v>
      </c>
      <c r="C4" s="8">
        <f>9908.75+48929.83</f>
        <v>58838.58</v>
      </c>
      <c r="D4" s="19">
        <f>C4+сентябрь!D4</f>
        <v>352507.70000000007</v>
      </c>
      <c r="E4" s="8">
        <f>1400.38+1232.82</f>
        <v>2633.2</v>
      </c>
      <c r="F4" s="19">
        <f>E4+сентябрь!F4</f>
        <v>342653.28</v>
      </c>
      <c r="G4" s="19">
        <f t="shared" ref="G4:H22" si="0">E4-C4</f>
        <v>-56205.380000000005</v>
      </c>
      <c r="H4" s="20">
        <f t="shared" si="0"/>
        <v>-9854.4200000000419</v>
      </c>
      <c r="I4" s="9"/>
      <c r="J4" s="20">
        <f>I4+сентябрь!J4</f>
        <v>0</v>
      </c>
      <c r="K4" s="8"/>
      <c r="L4" s="19">
        <f>K4+сентябрь!L4</f>
        <v>0</v>
      </c>
      <c r="M4" s="12">
        <f>L4-J4</f>
        <v>0</v>
      </c>
    </row>
    <row r="5" spans="1:13" ht="14.1" customHeight="1">
      <c r="A5" s="1">
        <f t="shared" ref="A5:A22" si="1">A4+1</f>
        <v>3</v>
      </c>
      <c r="B5" s="39" t="str">
        <f>сентябрь!B5</f>
        <v>Горячее водоснабжение</v>
      </c>
      <c r="C5" s="8">
        <f>2718.03+20046.48</f>
        <v>22764.51</v>
      </c>
      <c r="D5" s="19">
        <f>C5+сентябрь!D5</f>
        <v>235017.48000000004</v>
      </c>
      <c r="E5" s="8">
        <f>3164.65+17725.15</f>
        <v>20889.800000000003</v>
      </c>
      <c r="F5" s="19">
        <f>E5+сентябрь!F5</f>
        <v>203175.14999999997</v>
      </c>
      <c r="G5" s="19">
        <f t="shared" si="0"/>
        <v>-1874.7099999999955</v>
      </c>
      <c r="H5" s="20">
        <f t="shared" si="0"/>
        <v>-31842.330000000075</v>
      </c>
      <c r="I5" s="9"/>
      <c r="J5" s="20">
        <f>I5+сентябрь!J5</f>
        <v>0</v>
      </c>
      <c r="K5" s="8"/>
      <c r="L5" s="19">
        <f>K5+сентябрь!L5</f>
        <v>0</v>
      </c>
    </row>
    <row r="6" spans="1:13" ht="14.1" customHeight="1">
      <c r="A6" s="1">
        <f t="shared" si="1"/>
        <v>4</v>
      </c>
      <c r="B6" s="39" t="str">
        <f>сентябрь!B6</f>
        <v>Газ</v>
      </c>
      <c r="C6" s="53">
        <v>0</v>
      </c>
      <c r="D6" s="19">
        <f>C6+сентябрь!D6</f>
        <v>3216.2599999999998</v>
      </c>
      <c r="E6" s="8">
        <v>0</v>
      </c>
      <c r="F6" s="19">
        <f>E6+сентябрь!F6</f>
        <v>2709.1800000000003</v>
      </c>
      <c r="G6" s="19">
        <f t="shared" si="0"/>
        <v>0</v>
      </c>
      <c r="H6" s="20">
        <f t="shared" si="0"/>
        <v>-507.07999999999947</v>
      </c>
      <c r="I6" s="9"/>
      <c r="J6" s="20">
        <f>I6+сентябрь!J6</f>
        <v>0</v>
      </c>
      <c r="K6" s="8"/>
      <c r="L6" s="19">
        <f>K6+сентябрь!L6</f>
        <v>0</v>
      </c>
    </row>
    <row r="7" spans="1:13" ht="14.1" customHeight="1">
      <c r="A7" s="1">
        <f t="shared" si="1"/>
        <v>5</v>
      </c>
      <c r="B7" s="39" t="str">
        <f>сентябрь!B7</f>
        <v>Уборка и сан.очистка зем.уч.</v>
      </c>
      <c r="C7" s="8">
        <f>541.64+2674.62</f>
        <v>3216.2599999999998</v>
      </c>
      <c r="D7" s="19">
        <f>C7+сентябрь!D7</f>
        <v>28432.979999999996</v>
      </c>
      <c r="E7" s="8">
        <f>345.48+2392.86</f>
        <v>2738.34</v>
      </c>
      <c r="F7" s="19">
        <f>E7+сентябрь!F7</f>
        <v>25976.33</v>
      </c>
      <c r="G7" s="19">
        <f t="shared" si="0"/>
        <v>-477.91999999999962</v>
      </c>
      <c r="H7" s="20">
        <f t="shared" si="0"/>
        <v>-2456.6499999999942</v>
      </c>
      <c r="I7" s="9"/>
      <c r="J7" s="20">
        <f>I7+сентябрь!J7</f>
        <v>0</v>
      </c>
      <c r="K7" s="8"/>
      <c r="L7" s="19">
        <f>K7+сентябрь!L7</f>
        <v>0</v>
      </c>
    </row>
    <row r="8" spans="1:13" ht="14.1" customHeight="1">
      <c r="A8" s="1">
        <f t="shared" si="1"/>
        <v>6</v>
      </c>
      <c r="B8" s="39" t="str">
        <f>сентябрь!B8</f>
        <v>Электроснабжение(инд.потр)</v>
      </c>
      <c r="C8" s="8">
        <f>4910.01+23091.66</f>
        <v>28001.67</v>
      </c>
      <c r="D8" s="19">
        <f>C8+сентябрь!D8</f>
        <v>267644.45999999996</v>
      </c>
      <c r="E8" s="8">
        <f>2888.49+20220.76</f>
        <v>23109.25</v>
      </c>
      <c r="F8" s="19">
        <f>E8+сентябрь!F8</f>
        <v>237257.86</v>
      </c>
      <c r="G8" s="19">
        <f t="shared" si="0"/>
        <v>-4892.4199999999983</v>
      </c>
      <c r="H8" s="20">
        <f t="shared" si="0"/>
        <v>-30386.599999999977</v>
      </c>
      <c r="I8" s="9"/>
      <c r="J8" s="20">
        <f>I8+сентябрь!J8</f>
        <v>0</v>
      </c>
      <c r="K8" s="8"/>
      <c r="L8" s="19">
        <f>K8+сентябрь!L8</f>
        <v>0</v>
      </c>
    </row>
    <row r="9" spans="1:13" ht="14.1" customHeight="1">
      <c r="A9" s="1">
        <f t="shared" si="1"/>
        <v>7</v>
      </c>
      <c r="B9" s="39" t="str">
        <f>сентябрь!B9</f>
        <v>Холодная вода</v>
      </c>
      <c r="C9" s="8">
        <f>601.74+6502.86</f>
        <v>7104.5999999999995</v>
      </c>
      <c r="D9" s="19">
        <f>C9+сентябрь!D9</f>
        <v>81331.97</v>
      </c>
      <c r="E9" s="8">
        <f>1333.05+5719.55</f>
        <v>7052.6</v>
      </c>
      <c r="F9" s="19">
        <f>E9+сентябрь!F9</f>
        <v>71926.27</v>
      </c>
      <c r="G9" s="19">
        <f t="shared" si="0"/>
        <v>-51.999999999999091</v>
      </c>
      <c r="H9" s="20">
        <f t="shared" si="0"/>
        <v>-9405.6999999999971</v>
      </c>
      <c r="I9" s="9"/>
      <c r="J9" s="20">
        <f>I9+сентябрь!J9</f>
        <v>0</v>
      </c>
      <c r="K9" s="8"/>
      <c r="L9" s="19">
        <f>K9+сентябрь!L9</f>
        <v>0</v>
      </c>
    </row>
    <row r="10" spans="1:13" ht="14.1" customHeight="1">
      <c r="A10" s="1">
        <f t="shared" si="1"/>
        <v>8</v>
      </c>
      <c r="B10" s="39" t="str">
        <f>сентябрь!B10</f>
        <v>Канализирование х.воды</v>
      </c>
      <c r="C10" s="53">
        <v>0</v>
      </c>
      <c r="D10" s="19">
        <f>C10+сентябрь!D10</f>
        <v>0</v>
      </c>
      <c r="E10" s="8">
        <v>0.06</v>
      </c>
      <c r="F10" s="19">
        <f>E10+сентябрь!F10</f>
        <v>0.06</v>
      </c>
      <c r="G10" s="19">
        <f t="shared" si="0"/>
        <v>0.06</v>
      </c>
      <c r="H10" s="20">
        <f t="shared" si="0"/>
        <v>0.06</v>
      </c>
      <c r="I10" s="9"/>
      <c r="J10" s="20">
        <f>I10+сентябрь!J10</f>
        <v>0</v>
      </c>
      <c r="K10" s="8"/>
      <c r="L10" s="19">
        <f>K10+сентябрь!L10</f>
        <v>0</v>
      </c>
    </row>
    <row r="11" spans="1:13" ht="14.1" customHeight="1">
      <c r="A11" s="1">
        <f t="shared" si="1"/>
        <v>9</v>
      </c>
      <c r="B11" s="39" t="str">
        <f>сентябрь!B11</f>
        <v>Канализирование г.воды</v>
      </c>
      <c r="C11" s="53">
        <v>0</v>
      </c>
      <c r="D11" s="19">
        <f>C11+сентябрь!D11</f>
        <v>0</v>
      </c>
      <c r="E11" s="8">
        <v>0.04</v>
      </c>
      <c r="F11" s="19">
        <f>E11+сентябрь!F11</f>
        <v>0.04</v>
      </c>
      <c r="G11" s="19">
        <f t="shared" si="0"/>
        <v>0.04</v>
      </c>
      <c r="H11" s="20">
        <f t="shared" si="0"/>
        <v>0.04</v>
      </c>
      <c r="I11" s="9"/>
      <c r="J11" s="20">
        <f>I11+сентябрь!J11</f>
        <v>0</v>
      </c>
      <c r="K11" s="8"/>
      <c r="L11" s="19">
        <f>K11+сентябрь!L11</f>
        <v>0</v>
      </c>
    </row>
    <row r="12" spans="1:13" ht="14.1" customHeight="1">
      <c r="A12" s="1">
        <f t="shared" si="1"/>
        <v>10</v>
      </c>
      <c r="B12" s="39" t="str">
        <f>сентябрь!B12</f>
        <v>Тек.рем.общ.имущ.дома</v>
      </c>
      <c r="C12" s="8">
        <f>1789.09+8834.69</f>
        <v>10623.78</v>
      </c>
      <c r="D12" s="19">
        <f>C12+сентябрь!D12</f>
        <v>106237.79999999999</v>
      </c>
      <c r="E12" s="8">
        <f>1141.18+7917.07</f>
        <v>9058.25</v>
      </c>
      <c r="F12" s="19">
        <f>E12+сентябрь!F12</f>
        <v>96773.04</v>
      </c>
      <c r="G12" s="19">
        <f t="shared" si="0"/>
        <v>-1565.5300000000007</v>
      </c>
      <c r="H12" s="20">
        <f t="shared" si="0"/>
        <v>-9464.7599999999948</v>
      </c>
      <c r="I12" s="9"/>
      <c r="J12" s="20">
        <f>I12+сентябрь!J12</f>
        <v>0</v>
      </c>
      <c r="K12" s="8"/>
      <c r="L12" s="19">
        <f>K12+сентябрь!L12</f>
        <v>0</v>
      </c>
    </row>
    <row r="13" spans="1:13" ht="14.1" customHeight="1">
      <c r="A13" s="1">
        <f t="shared" si="1"/>
        <v>11</v>
      </c>
      <c r="B13" s="39" t="str">
        <f>сентябрь!B13</f>
        <v>Сод.и тек.рем.в/дом.газосн</v>
      </c>
      <c r="C13" s="8">
        <f>174.42+606.28</f>
        <v>780.69999999999993</v>
      </c>
      <c r="D13" s="19">
        <f>C13+сентябрь!D13</f>
        <v>11011.989999999998</v>
      </c>
      <c r="E13" s="8">
        <f>124.95+841.57</f>
        <v>966.5200000000001</v>
      </c>
      <c r="F13" s="19">
        <f>E13+сентябрь!F13</f>
        <v>10388.730000000001</v>
      </c>
      <c r="G13" s="19">
        <f t="shared" si="0"/>
        <v>185.82000000000016</v>
      </c>
      <c r="H13" s="20">
        <f t="shared" si="0"/>
        <v>-623.25999999999658</v>
      </c>
      <c r="I13" s="9"/>
      <c r="J13" s="20">
        <f>I13+сентябрь!J13</f>
        <v>0</v>
      </c>
      <c r="K13" s="8"/>
      <c r="L13" s="19">
        <f>K13+сентябрь!L13</f>
        <v>0</v>
      </c>
    </row>
    <row r="14" spans="1:13" ht="14.1" customHeight="1">
      <c r="A14" s="1">
        <f t="shared" si="1"/>
        <v>12</v>
      </c>
      <c r="B14" s="39" t="str">
        <f>сентябрь!B14</f>
        <v>Управление многокв.домом</v>
      </c>
      <c r="C14" s="60">
        <f>864.3+4267.95</f>
        <v>5132.25</v>
      </c>
      <c r="D14" s="19">
        <f>C14+сентябрь!D14</f>
        <v>46908.9</v>
      </c>
      <c r="E14" s="8">
        <f>551.28+3790.4</f>
        <v>4341.68</v>
      </c>
      <c r="F14" s="19">
        <f>E14+сентябрь!F14</f>
        <v>42120.340000000004</v>
      </c>
      <c r="G14" s="19">
        <f t="shared" si="0"/>
        <v>-790.56999999999971</v>
      </c>
      <c r="H14" s="20">
        <f t="shared" si="0"/>
        <v>-4788.5599999999977</v>
      </c>
      <c r="I14" s="9"/>
      <c r="J14" s="20">
        <f>I14+сентябрь!J14</f>
        <v>0</v>
      </c>
      <c r="K14" s="8"/>
      <c r="L14" s="19">
        <f>K14+сентябрь!L14</f>
        <v>0</v>
      </c>
    </row>
    <row r="15" spans="1:13" ht="14.1" customHeight="1">
      <c r="A15" s="1">
        <f t="shared" si="1"/>
        <v>13</v>
      </c>
      <c r="B15" s="39" t="str">
        <f>сентябрь!B15</f>
        <v>Водоотведение(кв)</v>
      </c>
      <c r="C15" s="8">
        <f>1384.64+12264.54</f>
        <v>13649.18</v>
      </c>
      <c r="D15" s="19">
        <f>C15+сентябрь!D15</f>
        <v>147468.57</v>
      </c>
      <c r="E15" s="8">
        <f>2242.01+10799.54</f>
        <v>13041.550000000001</v>
      </c>
      <c r="F15" s="19">
        <f>E15+сентябрь!F15</f>
        <v>128687.82000000002</v>
      </c>
      <c r="G15" s="19">
        <f t="shared" si="0"/>
        <v>-607.6299999999992</v>
      </c>
      <c r="H15" s="20">
        <f t="shared" si="0"/>
        <v>-18780.749999999985</v>
      </c>
      <c r="I15" s="9"/>
      <c r="J15" s="20">
        <f>I15+сентябрь!J15</f>
        <v>0</v>
      </c>
      <c r="K15" s="8"/>
      <c r="L15" s="19">
        <f>K15+сентябрь!L15</f>
        <v>0</v>
      </c>
    </row>
    <row r="16" spans="1:13" ht="14.1" customHeight="1">
      <c r="A16" s="1">
        <f t="shared" si="1"/>
        <v>14</v>
      </c>
      <c r="B16" s="39" t="str">
        <f>сентябрь!B16</f>
        <v>Эксплуатация общед.ПУ</v>
      </c>
      <c r="C16" s="8">
        <f>190.17+938.99</f>
        <v>1129.1600000000001</v>
      </c>
      <c r="D16" s="19">
        <f>C16+сентябрь!D16</f>
        <v>11291.6</v>
      </c>
      <c r="E16" s="8">
        <f>121.28+841.48</f>
        <v>962.76</v>
      </c>
      <c r="F16" s="19">
        <f>E16+сентябрь!F16</f>
        <v>10270.210000000001</v>
      </c>
      <c r="G16" s="19">
        <f t="shared" si="0"/>
        <v>-166.40000000000009</v>
      </c>
      <c r="H16" s="20">
        <f t="shared" si="0"/>
        <v>-1021.3899999999994</v>
      </c>
      <c r="I16" s="9"/>
      <c r="J16" s="20">
        <f>I16+сентябрь!J16</f>
        <v>0</v>
      </c>
      <c r="K16" s="8"/>
      <c r="L16" s="19">
        <f>K16+сентябрь!L16</f>
        <v>0</v>
      </c>
    </row>
    <row r="17" spans="1:12" ht="14.1" customHeight="1">
      <c r="A17" s="1">
        <f t="shared" si="1"/>
        <v>15</v>
      </c>
      <c r="B17" s="39" t="str">
        <f>сентябрь!B17</f>
        <v>Хол. водоснаб(о/д нужды)</v>
      </c>
      <c r="C17" s="8">
        <f>93.27+459.71</f>
        <v>552.98</v>
      </c>
      <c r="D17" s="19">
        <f>C17+сентябрь!D17</f>
        <v>5299.4</v>
      </c>
      <c r="E17" s="8">
        <f>59.58+409.84</f>
        <v>469.41999999999996</v>
      </c>
      <c r="F17" s="19">
        <f>E17+сентябрь!F17</f>
        <v>4826.54</v>
      </c>
      <c r="G17" s="19">
        <f t="shared" si="0"/>
        <v>-83.560000000000059</v>
      </c>
      <c r="H17" s="20">
        <f t="shared" si="0"/>
        <v>-472.85999999999967</v>
      </c>
      <c r="I17" s="9"/>
      <c r="J17" s="20">
        <f>I17+сентябрь!J17</f>
        <v>0</v>
      </c>
      <c r="K17" s="8"/>
      <c r="L17" s="19">
        <f>K17+сентябрь!L17</f>
        <v>0</v>
      </c>
    </row>
    <row r="18" spans="1:12" ht="14.1" customHeight="1">
      <c r="A18" s="1">
        <f t="shared" si="1"/>
        <v>16</v>
      </c>
      <c r="B18" s="39" t="str">
        <f>сентябрь!B18</f>
        <v>Водоотведение(о/д нужды)</v>
      </c>
      <c r="C18" s="53">
        <v>0</v>
      </c>
      <c r="D18" s="19">
        <f>C18+сентябрь!D18</f>
        <v>0</v>
      </c>
      <c r="E18" s="8">
        <v>0</v>
      </c>
      <c r="F18" s="19">
        <f>E18+сентябрь!F18</f>
        <v>0</v>
      </c>
      <c r="G18" s="19">
        <f t="shared" si="0"/>
        <v>0</v>
      </c>
      <c r="H18" s="20">
        <f t="shared" si="0"/>
        <v>0</v>
      </c>
      <c r="I18" s="9"/>
      <c r="J18" s="20">
        <f>I18+сентябрь!J18</f>
        <v>0</v>
      </c>
      <c r="K18" s="8"/>
      <c r="L18" s="19">
        <f>K18+сентябрь!L18</f>
        <v>0</v>
      </c>
    </row>
    <row r="19" spans="1:12" ht="14.1" customHeight="1">
      <c r="A19" s="1">
        <f t="shared" si="1"/>
        <v>17</v>
      </c>
      <c r="B19" s="39" t="str">
        <f>сентябрь!B19</f>
        <v>Отопление(о/д нужды)</v>
      </c>
      <c r="C19" s="53">
        <v>0</v>
      </c>
      <c r="D19" s="19">
        <f>C19+сентябрь!D19</f>
        <v>0</v>
      </c>
      <c r="E19" s="8">
        <v>0</v>
      </c>
      <c r="F19" s="19">
        <f>E19+сентябрь!F19</f>
        <v>0</v>
      </c>
      <c r="G19" s="19">
        <f t="shared" si="0"/>
        <v>0</v>
      </c>
      <c r="H19" s="20">
        <f t="shared" si="0"/>
        <v>0</v>
      </c>
      <c r="I19" s="9"/>
      <c r="J19" s="20">
        <f>I19+сентябрь!J19</f>
        <v>0</v>
      </c>
      <c r="K19" s="8"/>
      <c r="L19" s="19">
        <f>K19+сентябрь!L19</f>
        <v>0</v>
      </c>
    </row>
    <row r="20" spans="1:12" ht="14.1" customHeight="1">
      <c r="A20" s="1">
        <f t="shared" si="1"/>
        <v>18</v>
      </c>
      <c r="B20" s="39" t="str">
        <f>сентябрь!B20</f>
        <v>Электроснабжение(общед.нужды)</v>
      </c>
      <c r="C20" s="8">
        <f>653+2269.86+2303.89</f>
        <v>5226.75</v>
      </c>
      <c r="D20" s="19">
        <f>C20+сентябрь!D20</f>
        <v>90601.25999999998</v>
      </c>
      <c r="E20" s="8">
        <f>1728.68+5835.77+1615.05</f>
        <v>9179.5</v>
      </c>
      <c r="F20" s="19">
        <f>E20+сентябрь!F20</f>
        <v>88845.9</v>
      </c>
      <c r="G20" s="19">
        <f t="shared" si="0"/>
        <v>3952.75</v>
      </c>
      <c r="H20" s="20">
        <f t="shared" si="0"/>
        <v>-1755.359999999986</v>
      </c>
      <c r="I20" s="9"/>
      <c r="J20" s="20">
        <f>I20+сентябрь!J20</f>
        <v>0</v>
      </c>
      <c r="K20" s="8"/>
      <c r="L20" s="19">
        <f>K20+сентябрь!L20</f>
        <v>0</v>
      </c>
    </row>
    <row r="21" spans="1:12" ht="14.1" customHeight="1">
      <c r="A21" s="1">
        <f t="shared" si="1"/>
        <v>19</v>
      </c>
      <c r="B21" s="39" t="str">
        <f>сентябрь!B21</f>
        <v>Капитальный ремонт</v>
      </c>
      <c r="C21" s="53">
        <v>0</v>
      </c>
      <c r="D21" s="19">
        <f>C21+сентябрь!D21</f>
        <v>0</v>
      </c>
      <c r="E21" s="8">
        <v>0</v>
      </c>
      <c r="F21" s="19">
        <f>E21+сентябрь!F21</f>
        <v>0</v>
      </c>
      <c r="G21" s="19">
        <f t="shared" si="0"/>
        <v>0</v>
      </c>
      <c r="H21" s="20">
        <f t="shared" si="0"/>
        <v>0</v>
      </c>
      <c r="I21" s="9"/>
      <c r="J21" s="20">
        <f>I21+сентябрь!J21</f>
        <v>0</v>
      </c>
      <c r="K21" s="8"/>
      <c r="L21" s="19">
        <f>K21+сентябрь!L21</f>
        <v>0</v>
      </c>
    </row>
    <row r="22" spans="1:12" ht="14.1" customHeight="1">
      <c r="A22" s="1">
        <f t="shared" si="1"/>
        <v>20</v>
      </c>
      <c r="B22" s="39" t="str">
        <f>сентябрь!B22</f>
        <v>Гор. Водоснабж. (о/д нужды)</v>
      </c>
      <c r="C22" s="8">
        <f>200.06+993.05</f>
        <v>1193.1099999999999</v>
      </c>
      <c r="D22" s="19">
        <f>C22+сентябрь!D22</f>
        <v>17264.510000000002</v>
      </c>
      <c r="E22" s="8">
        <f>127.76+887.2</f>
        <v>1014.96</v>
      </c>
      <c r="F22" s="19">
        <f>E22+сентябрь!F22</f>
        <v>16836.359999999997</v>
      </c>
      <c r="G22" s="19">
        <f t="shared" si="0"/>
        <v>-178.14999999999986</v>
      </c>
      <c r="H22" s="20">
        <f t="shared" si="0"/>
        <v>-428.15000000000509</v>
      </c>
      <c r="I22" s="9"/>
      <c r="J22" s="20">
        <f>I22+сентябрь!J22</f>
        <v>0</v>
      </c>
      <c r="K22" s="8"/>
      <c r="L22" s="19">
        <f>K22+сентябрь!L22</f>
        <v>0</v>
      </c>
    </row>
    <row r="23" spans="1:12" ht="14.1" customHeight="1">
      <c r="A23" s="17"/>
      <c r="B23" s="18" t="s">
        <v>12</v>
      </c>
      <c r="C23" s="19">
        <f t="shared" ref="C23:L23" si="2">SUM(C3:C22)</f>
        <v>179512.43</v>
      </c>
      <c r="D23" s="19">
        <f t="shared" si="2"/>
        <v>1611646.12</v>
      </c>
      <c r="E23" s="20">
        <f t="shared" si="2"/>
        <v>113575.48999999999</v>
      </c>
      <c r="F23" s="19">
        <f t="shared" si="2"/>
        <v>1470336.4100000001</v>
      </c>
      <c r="G23" s="19">
        <f t="shared" si="2"/>
        <v>-65936.939999999973</v>
      </c>
      <c r="H23" s="20">
        <f t="shared" si="2"/>
        <v>-141309.71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6" spans="1:12">
      <c r="B26" s="1" t="s">
        <v>37</v>
      </c>
      <c r="C26" s="9">
        <f>C9+C10+C11+C15+C17+C18</f>
        <v>21306.76</v>
      </c>
      <c r="D26" s="9">
        <f t="shared" ref="D26:J26" si="3">D9+D10+D11+D15+D17+D18</f>
        <v>234099.94</v>
      </c>
      <c r="E26" s="9">
        <f t="shared" si="3"/>
        <v>20563.669999999998</v>
      </c>
      <c r="F26" s="9">
        <f t="shared" si="3"/>
        <v>205440.73</v>
      </c>
      <c r="G26" s="9">
        <f t="shared" si="3"/>
        <v>-743.08999999999833</v>
      </c>
      <c r="H26" s="9">
        <f t="shared" si="3"/>
        <v>-28659.209999999985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33228.42</v>
      </c>
      <c r="D27" s="9">
        <f t="shared" ref="D27:J27" si="4">D8+D20</f>
        <v>358245.72</v>
      </c>
      <c r="E27" s="9">
        <f t="shared" si="4"/>
        <v>32288.75</v>
      </c>
      <c r="F27" s="9">
        <f t="shared" si="4"/>
        <v>326103.76</v>
      </c>
      <c r="G27" s="9">
        <f t="shared" si="4"/>
        <v>-939.66999999999825</v>
      </c>
      <c r="H27" s="9">
        <f t="shared" si="4"/>
        <v>-32141.959999999963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82796.2</v>
      </c>
      <c r="D28" s="9">
        <f t="shared" ref="D28:J28" si="5">D4+D5+D19+D22</f>
        <v>604789.69000000018</v>
      </c>
      <c r="E28" s="9">
        <f t="shared" si="5"/>
        <v>24537.960000000003</v>
      </c>
      <c r="F28" s="9">
        <f t="shared" si="5"/>
        <v>562664.78999999992</v>
      </c>
      <c r="G28" s="9">
        <f t="shared" si="5"/>
        <v>-58258.239999999998</v>
      </c>
      <c r="H28" s="9">
        <f t="shared" si="5"/>
        <v>-42124.900000000125</v>
      </c>
      <c r="I28" s="9">
        <f t="shared" si="5"/>
        <v>0</v>
      </c>
      <c r="J28" s="9">
        <f t="shared" si="5"/>
        <v>0</v>
      </c>
    </row>
    <row r="31" spans="1:12">
      <c r="C31">
        <f>27615.97+151896.46</f>
        <v>179512.43</v>
      </c>
      <c r="D31" s="64"/>
      <c r="E31" s="64">
        <f>17516.78+96058.71</f>
        <v>113575.49</v>
      </c>
    </row>
    <row r="32" spans="1:12">
      <c r="D32" s="64"/>
      <c r="E32" s="64"/>
    </row>
    <row r="33" spans="4:5">
      <c r="D33" s="65"/>
      <c r="E33" s="6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G31" sqref="G31"/>
    </sheetView>
  </sheetViews>
  <sheetFormatPr defaultRowHeight="12.75"/>
  <cols>
    <col min="1" max="1" width="4.140625" customWidth="1"/>
    <col min="2" max="2" width="30.7109375" customWidth="1"/>
    <col min="3" max="3" width="10.42578125" customWidth="1"/>
    <col min="4" max="4" width="12.5703125" customWidth="1"/>
    <col min="5" max="5" width="10.140625" customWidth="1"/>
    <col min="6" max="6" width="11.42578125" customWidth="1"/>
    <col min="7" max="7" width="9.7109375" bestFit="1" customWidth="1"/>
    <col min="8" max="8" width="13" customWidth="1"/>
    <col min="9" max="9" width="9.28515625" bestFit="1" customWidth="1"/>
    <col min="10" max="10" width="12.140625" customWidth="1"/>
    <col min="11" max="11" width="10.28515625" customWidth="1"/>
    <col min="12" max="12" width="11" customWidth="1"/>
  </cols>
  <sheetData>
    <row r="1" spans="1:13">
      <c r="B1" s="11" t="s">
        <v>18</v>
      </c>
      <c r="C1" s="11" t="s">
        <v>54</v>
      </c>
    </row>
    <row r="2" spans="1:13" s="29" customFormat="1" ht="38.25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 ht="14.1" customHeight="1">
      <c r="A3" s="1">
        <v>1</v>
      </c>
      <c r="B3" s="39" t="str">
        <f>октябрь!B3</f>
        <v>Содержание общ.имущ.дома</v>
      </c>
      <c r="C3" s="8">
        <f>17712.05+3586.85</f>
        <v>21298.899999999998</v>
      </c>
      <c r="D3" s="19">
        <f>C3+октябрь!D3</f>
        <v>228710.13999999998</v>
      </c>
      <c r="E3" s="9">
        <f>15423.86+2394.48</f>
        <v>17818.34</v>
      </c>
      <c r="F3" s="19">
        <f>E3+октябрь!F3</f>
        <v>205707.64</v>
      </c>
      <c r="G3" s="19">
        <f>E3-C3</f>
        <v>-3480.5599999999977</v>
      </c>
      <c r="H3" s="20">
        <f>F3-D3</f>
        <v>-23002.499999999971</v>
      </c>
      <c r="I3" s="9"/>
      <c r="J3" s="20">
        <f>I3+октябрь!J3</f>
        <v>0</v>
      </c>
      <c r="K3" s="8"/>
      <c r="L3" s="19">
        <f>K3+октябрь!L3</f>
        <v>0</v>
      </c>
    </row>
    <row r="4" spans="1:13" ht="14.1" customHeight="1">
      <c r="A4" s="1">
        <f>A3+1</f>
        <v>2</v>
      </c>
      <c r="B4" s="39" t="str">
        <f>октябрь!B4</f>
        <v>Отопление</v>
      </c>
      <c r="C4" s="8">
        <f>29542.39+5982.62</f>
        <v>35525.01</v>
      </c>
      <c r="D4" s="19">
        <f>C4+октябрь!D4</f>
        <v>388032.71000000008</v>
      </c>
      <c r="E4" s="9">
        <f>37530.9+4825.37</f>
        <v>42356.270000000004</v>
      </c>
      <c r="F4" s="19">
        <f>E4+октябрь!F4</f>
        <v>385009.55000000005</v>
      </c>
      <c r="G4" s="19">
        <f t="shared" ref="G4:H22" si="0">E4-C4</f>
        <v>6831.260000000002</v>
      </c>
      <c r="H4" s="20">
        <f t="shared" si="0"/>
        <v>-3023.1600000000326</v>
      </c>
      <c r="I4" s="9"/>
      <c r="J4" s="20">
        <f>I4+октябрь!J4</f>
        <v>0</v>
      </c>
      <c r="K4" s="8"/>
      <c r="L4" s="19">
        <f>K4+октябрь!L4</f>
        <v>0</v>
      </c>
      <c r="M4" s="12">
        <f>L4-J4</f>
        <v>0</v>
      </c>
    </row>
    <row r="5" spans="1:13" ht="14.1" customHeight="1">
      <c r="A5" s="1">
        <f t="shared" ref="A5:A22" si="1">A4+1</f>
        <v>3</v>
      </c>
      <c r="B5" s="39" t="str">
        <f>октябрь!B5</f>
        <v>Горячее водоснабжение</v>
      </c>
      <c r="C5" s="60">
        <f>7093.8+2966.53</f>
        <v>10060.33</v>
      </c>
      <c r="D5" s="19">
        <f>C5+октябрь!D5</f>
        <v>245077.81000000003</v>
      </c>
      <c r="E5" s="9">
        <f>17794.73+1986.79</f>
        <v>19781.52</v>
      </c>
      <c r="F5" s="19">
        <f>E5+октябрь!F5</f>
        <v>222956.66999999995</v>
      </c>
      <c r="G5" s="19">
        <f t="shared" si="0"/>
        <v>9721.19</v>
      </c>
      <c r="H5" s="20">
        <f t="shared" si="0"/>
        <v>-22121.140000000072</v>
      </c>
      <c r="I5" s="9"/>
      <c r="J5" s="20">
        <f>I5+октябрь!J5</f>
        <v>0</v>
      </c>
      <c r="K5" s="8"/>
      <c r="L5" s="19">
        <f>K5+октябрь!L5</f>
        <v>0</v>
      </c>
    </row>
    <row r="6" spans="1:13" ht="14.1" customHeight="1">
      <c r="A6" s="1">
        <f t="shared" si="1"/>
        <v>4</v>
      </c>
      <c r="B6" s="39" t="str">
        <f>октябрь!B6</f>
        <v>Газ</v>
      </c>
      <c r="C6" s="53">
        <v>0</v>
      </c>
      <c r="D6" s="19">
        <f>C6+октябрь!D6</f>
        <v>3216.2599999999998</v>
      </c>
      <c r="E6" s="53">
        <v>0</v>
      </c>
      <c r="F6" s="19">
        <f>E6+октябрь!F6</f>
        <v>2709.1800000000003</v>
      </c>
      <c r="G6" s="19">
        <f t="shared" si="0"/>
        <v>0</v>
      </c>
      <c r="H6" s="20">
        <f t="shared" si="0"/>
        <v>-507.07999999999947</v>
      </c>
      <c r="I6" s="9"/>
      <c r="J6" s="20">
        <f>I6+октябрь!J6</f>
        <v>0</v>
      </c>
      <c r="K6" s="8"/>
      <c r="L6" s="19">
        <f>K6+октябрь!L6</f>
        <v>0</v>
      </c>
    </row>
    <row r="7" spans="1:13" ht="14.1" customHeight="1">
      <c r="A7" s="1">
        <f t="shared" si="1"/>
        <v>5</v>
      </c>
      <c r="B7" s="39" t="str">
        <f>октябрь!B7</f>
        <v>Уборка и сан.очистка зем.уч.</v>
      </c>
      <c r="C7" s="8">
        <f>2674.62+541.64</f>
        <v>3216.2599999999998</v>
      </c>
      <c r="D7" s="19">
        <f>C7+октябрь!D7</f>
        <v>31649.239999999994</v>
      </c>
      <c r="E7" s="9">
        <f>2329.66+361.64</f>
        <v>2691.2999999999997</v>
      </c>
      <c r="F7" s="19">
        <f>E7+октябрь!F7</f>
        <v>28667.63</v>
      </c>
      <c r="G7" s="19">
        <f t="shared" si="0"/>
        <v>-524.96</v>
      </c>
      <c r="H7" s="20">
        <f t="shared" si="0"/>
        <v>-2981.6099999999933</v>
      </c>
      <c r="I7" s="9"/>
      <c r="J7" s="20">
        <f>I7+октябрь!J7</f>
        <v>0</v>
      </c>
      <c r="K7" s="8"/>
      <c r="L7" s="19">
        <f>K7+октябрь!L7</f>
        <v>0</v>
      </c>
    </row>
    <row r="8" spans="1:13" ht="14.1" customHeight="1">
      <c r="A8" s="1">
        <f t="shared" si="1"/>
        <v>6</v>
      </c>
      <c r="B8" s="39" t="str">
        <f>октябрь!B8</f>
        <v>Электроснабжение(инд.потр)</v>
      </c>
      <c r="C8" s="8">
        <f>23091.66+4910.01</f>
        <v>28001.67</v>
      </c>
      <c r="D8" s="19">
        <f>C8+октябрь!D8</f>
        <v>295646.12999999995</v>
      </c>
      <c r="E8" s="9">
        <f>19450.81+3160.86</f>
        <v>22611.670000000002</v>
      </c>
      <c r="F8" s="19">
        <f>E8+октябрь!F8</f>
        <v>259869.53</v>
      </c>
      <c r="G8" s="19">
        <f t="shared" si="0"/>
        <v>-5389.9999999999964</v>
      </c>
      <c r="H8" s="20">
        <f t="shared" si="0"/>
        <v>-35776.599999999948</v>
      </c>
      <c r="I8" s="9"/>
      <c r="J8" s="20">
        <f>I8+октябрь!J8</f>
        <v>0</v>
      </c>
      <c r="K8" s="8"/>
      <c r="L8" s="19">
        <f>K8+октябрь!L8</f>
        <v>0</v>
      </c>
    </row>
    <row r="9" spans="1:13" ht="14.1" customHeight="1">
      <c r="A9" s="1">
        <f t="shared" si="1"/>
        <v>7</v>
      </c>
      <c r="B9" s="39" t="str">
        <f>октябрь!B9</f>
        <v>Холодная вода</v>
      </c>
      <c r="C9" s="8">
        <f>5019.92+1358.86</f>
        <v>6378.78</v>
      </c>
      <c r="D9" s="19">
        <f>C9+октябрь!D9</f>
        <v>87710.75</v>
      </c>
      <c r="E9" s="9">
        <f>5921+726.83</f>
        <v>6647.83</v>
      </c>
      <c r="F9" s="19">
        <f>E9+октябрь!F9</f>
        <v>78574.100000000006</v>
      </c>
      <c r="G9" s="19">
        <f t="shared" si="0"/>
        <v>269.05000000000018</v>
      </c>
      <c r="H9" s="20">
        <f t="shared" si="0"/>
        <v>-9136.6499999999942</v>
      </c>
      <c r="I9" s="9"/>
      <c r="J9" s="20">
        <f>I9+октябрь!J9</f>
        <v>0</v>
      </c>
      <c r="K9" s="8"/>
      <c r="L9" s="19">
        <f>K9+октябрь!L9</f>
        <v>0</v>
      </c>
    </row>
    <row r="10" spans="1:13" ht="14.1" customHeight="1">
      <c r="A10" s="1">
        <f t="shared" si="1"/>
        <v>8</v>
      </c>
      <c r="B10" s="39" t="str">
        <f>октябрь!B10</f>
        <v>Канализирование х.воды</v>
      </c>
      <c r="C10" s="53">
        <v>0</v>
      </c>
      <c r="D10" s="19">
        <f>C10+октябрь!D10</f>
        <v>0</v>
      </c>
      <c r="E10" s="53">
        <v>0</v>
      </c>
      <c r="F10" s="19">
        <f>E10+октябрь!F10</f>
        <v>0.06</v>
      </c>
      <c r="G10" s="19">
        <f t="shared" si="0"/>
        <v>0</v>
      </c>
      <c r="H10" s="20">
        <f t="shared" si="0"/>
        <v>0.06</v>
      </c>
      <c r="I10" s="9"/>
      <c r="J10" s="20">
        <f>I10+октябрь!J10</f>
        <v>0</v>
      </c>
      <c r="K10" s="8"/>
      <c r="L10" s="19">
        <f>K10+октябрь!L10</f>
        <v>0</v>
      </c>
    </row>
    <row r="11" spans="1:13" ht="14.1" customHeight="1">
      <c r="A11" s="1">
        <f t="shared" si="1"/>
        <v>9</v>
      </c>
      <c r="B11" s="39" t="str">
        <f>октябрь!B11</f>
        <v>Канализирование г.воды</v>
      </c>
      <c r="C11" s="53">
        <v>0</v>
      </c>
      <c r="D11" s="19">
        <f>C11+октябрь!D11</f>
        <v>0</v>
      </c>
      <c r="E11" s="53">
        <v>0</v>
      </c>
      <c r="F11" s="19">
        <f>E11+октябрь!F11</f>
        <v>0.04</v>
      </c>
      <c r="G11" s="19">
        <f t="shared" si="0"/>
        <v>0</v>
      </c>
      <c r="H11" s="20">
        <f t="shared" si="0"/>
        <v>0.04</v>
      </c>
      <c r="I11" s="9"/>
      <c r="J11" s="20">
        <f>I11+октябрь!J11</f>
        <v>0</v>
      </c>
      <c r="K11" s="8"/>
      <c r="L11" s="19">
        <f>K11+октябрь!L11</f>
        <v>0</v>
      </c>
    </row>
    <row r="12" spans="1:13" ht="14.1" customHeight="1">
      <c r="A12" s="1">
        <f t="shared" si="1"/>
        <v>10</v>
      </c>
      <c r="B12" s="39" t="str">
        <f>октябрь!B12</f>
        <v>Тек.рем.общ.имущ.дома</v>
      </c>
      <c r="C12" s="8">
        <f>8834.69+1789.09</f>
        <v>10623.78</v>
      </c>
      <c r="D12" s="19">
        <f>C12+октябрь!D12</f>
        <v>116861.57999999999</v>
      </c>
      <c r="E12" s="9">
        <f>7706.1+1194.84</f>
        <v>8900.94</v>
      </c>
      <c r="F12" s="19">
        <f>E12+октябрь!F12</f>
        <v>105673.98</v>
      </c>
      <c r="G12" s="19">
        <f t="shared" si="0"/>
        <v>-1722.8400000000001</v>
      </c>
      <c r="H12" s="20">
        <f t="shared" si="0"/>
        <v>-11187.599999999991</v>
      </c>
      <c r="I12" s="9"/>
      <c r="J12" s="20">
        <f>I12+октябрь!J12</f>
        <v>0</v>
      </c>
      <c r="K12" s="8"/>
      <c r="L12" s="19">
        <f>K12+октябрь!L12</f>
        <v>0</v>
      </c>
    </row>
    <row r="13" spans="1:13" ht="14.1" customHeight="1">
      <c r="A13" s="1">
        <f t="shared" si="1"/>
        <v>11</v>
      </c>
      <c r="B13" s="39" t="str">
        <f>октябрь!B13</f>
        <v>Сод.и тек.рем.в/дом.газосн</v>
      </c>
      <c r="C13" s="8">
        <f>606.28+174.42</f>
        <v>780.69999999999993</v>
      </c>
      <c r="D13" s="19">
        <f>C13+октябрь!D13</f>
        <v>11792.689999999999</v>
      </c>
      <c r="E13" s="9">
        <f>444.43+130.82</f>
        <v>575.25</v>
      </c>
      <c r="F13" s="19">
        <f>E13+октябрь!F13</f>
        <v>10963.980000000001</v>
      </c>
      <c r="G13" s="19">
        <f t="shared" si="0"/>
        <v>-205.44999999999993</v>
      </c>
      <c r="H13" s="20">
        <f t="shared" si="0"/>
        <v>-828.70999999999731</v>
      </c>
      <c r="I13" s="9"/>
      <c r="J13" s="20">
        <f>I13+октябрь!J13</f>
        <v>0</v>
      </c>
      <c r="K13" s="8"/>
      <c r="L13" s="19">
        <f>K13+октябрь!L13</f>
        <v>0</v>
      </c>
    </row>
    <row r="14" spans="1:13" ht="14.1" customHeight="1">
      <c r="A14" s="1">
        <f t="shared" si="1"/>
        <v>12</v>
      </c>
      <c r="B14" s="39" t="str">
        <f>октябрь!B14</f>
        <v>Управление многокв.домом</v>
      </c>
      <c r="C14" s="8">
        <f>4267.95+864.3</f>
        <v>5132.25</v>
      </c>
      <c r="D14" s="19">
        <f>C14+октябрь!D14</f>
        <v>52041.15</v>
      </c>
      <c r="E14" s="9">
        <f>3706.26+576.46</f>
        <v>4282.72</v>
      </c>
      <c r="F14" s="19">
        <f>E14+октябрь!F14</f>
        <v>46403.060000000005</v>
      </c>
      <c r="G14" s="19">
        <f t="shared" si="0"/>
        <v>-849.52999999999975</v>
      </c>
      <c r="H14" s="20">
        <f t="shared" si="0"/>
        <v>-5638.0899999999965</v>
      </c>
      <c r="I14" s="9"/>
      <c r="J14" s="20">
        <f>I14+октябрь!J14</f>
        <v>0</v>
      </c>
      <c r="K14" s="8"/>
      <c r="L14" s="19">
        <f>K14+октябрь!L14</f>
        <v>0</v>
      </c>
    </row>
    <row r="15" spans="1:13" ht="14.1" customHeight="1">
      <c r="A15" s="1">
        <f t="shared" si="1"/>
        <v>13</v>
      </c>
      <c r="B15" s="39" t="str">
        <f>октябрь!B15</f>
        <v>Водоотведение(кв)</v>
      </c>
      <c r="C15" s="8">
        <f>7057.62+2211</f>
        <v>9268.619999999999</v>
      </c>
      <c r="D15" s="19">
        <f>C15+октябрь!D15</f>
        <v>156737.19</v>
      </c>
      <c r="E15" s="9">
        <f>10789.27+1297.44</f>
        <v>12086.710000000001</v>
      </c>
      <c r="F15" s="19">
        <f>E15+октябрь!F15</f>
        <v>140774.53000000003</v>
      </c>
      <c r="G15" s="19">
        <f t="shared" si="0"/>
        <v>2818.090000000002</v>
      </c>
      <c r="H15" s="20">
        <f t="shared" si="0"/>
        <v>-15962.659999999974</v>
      </c>
      <c r="I15" s="9"/>
      <c r="J15" s="20">
        <f>I15+октябрь!J15</f>
        <v>0</v>
      </c>
      <c r="K15" s="8"/>
      <c r="L15" s="19">
        <f>K15+октябрь!L15</f>
        <v>0</v>
      </c>
    </row>
    <row r="16" spans="1:13" ht="14.1" customHeight="1">
      <c r="A16" s="1">
        <f t="shared" si="1"/>
        <v>14</v>
      </c>
      <c r="B16" s="39" t="str">
        <f>октябрь!B16</f>
        <v>Эксплуатация общед.ПУ</v>
      </c>
      <c r="C16" s="8">
        <f>938.99+190.17</f>
        <v>1129.1600000000001</v>
      </c>
      <c r="D16" s="19">
        <f>C16+октябрь!D16</f>
        <v>12420.76</v>
      </c>
      <c r="E16" s="9">
        <f>818.7+127</f>
        <v>945.7</v>
      </c>
      <c r="F16" s="19">
        <f>E16+октябрь!F16</f>
        <v>11215.910000000002</v>
      </c>
      <c r="G16" s="19">
        <f t="shared" si="0"/>
        <v>-183.46000000000004</v>
      </c>
      <c r="H16" s="20">
        <f t="shared" si="0"/>
        <v>-1204.8499999999985</v>
      </c>
      <c r="I16" s="9"/>
      <c r="J16" s="20">
        <f>I16+октябрь!J16</f>
        <v>0</v>
      </c>
      <c r="K16" s="8"/>
      <c r="L16" s="19">
        <f>K16+октябрь!L16</f>
        <v>0</v>
      </c>
    </row>
    <row r="17" spans="1:12" ht="14.1" customHeight="1">
      <c r="A17" s="1">
        <f t="shared" si="1"/>
        <v>15</v>
      </c>
      <c r="B17" s="39" t="str">
        <f>октябрь!B17</f>
        <v>Хол. водоснаб(о/д нужды)</v>
      </c>
      <c r="C17" s="8">
        <f>459.71+93.27</f>
        <v>552.98</v>
      </c>
      <c r="D17" s="19">
        <f>C17+октябрь!D17</f>
        <v>5852.3799999999992</v>
      </c>
      <c r="E17" s="9">
        <f>421.47+62.49</f>
        <v>483.96000000000004</v>
      </c>
      <c r="F17" s="19">
        <f>E17+октябрь!F17</f>
        <v>5310.5</v>
      </c>
      <c r="G17" s="19">
        <f t="shared" si="0"/>
        <v>-69.019999999999982</v>
      </c>
      <c r="H17" s="20">
        <f t="shared" si="0"/>
        <v>-541.8799999999992</v>
      </c>
      <c r="I17" s="9"/>
      <c r="J17" s="20">
        <f>I17+октябрь!J17</f>
        <v>0</v>
      </c>
      <c r="K17" s="8"/>
      <c r="L17" s="19">
        <f>K17+октябрь!L17</f>
        <v>0</v>
      </c>
    </row>
    <row r="18" spans="1:12" ht="14.1" customHeight="1">
      <c r="A18" s="1">
        <f t="shared" si="1"/>
        <v>16</v>
      </c>
      <c r="B18" s="39" t="str">
        <f>октябрь!B18</f>
        <v>Водоотведение(о/д нужды)</v>
      </c>
      <c r="C18" s="53">
        <v>0</v>
      </c>
      <c r="D18" s="19">
        <f>C18+октябрь!D18</f>
        <v>0</v>
      </c>
      <c r="E18" s="53">
        <v>0</v>
      </c>
      <c r="F18" s="19">
        <f>E18+октябрь!F18</f>
        <v>0</v>
      </c>
      <c r="G18" s="19">
        <f t="shared" si="0"/>
        <v>0</v>
      </c>
      <c r="H18" s="20">
        <f t="shared" si="0"/>
        <v>0</v>
      </c>
      <c r="I18" s="9"/>
      <c r="J18" s="20">
        <f>I18+октябрь!J18</f>
        <v>0</v>
      </c>
      <c r="K18" s="8"/>
      <c r="L18" s="19">
        <f>K18+октябрь!L18</f>
        <v>0</v>
      </c>
    </row>
    <row r="19" spans="1:12" ht="14.1" customHeight="1">
      <c r="A19" s="1">
        <f t="shared" si="1"/>
        <v>17</v>
      </c>
      <c r="B19" s="39" t="str">
        <f>октябрь!B19</f>
        <v>Отопление(о/д нужды)</v>
      </c>
      <c r="C19" s="53">
        <v>0</v>
      </c>
      <c r="D19" s="19">
        <f>C19+октябрь!D19</f>
        <v>0</v>
      </c>
      <c r="E19" s="53">
        <v>0</v>
      </c>
      <c r="F19" s="19">
        <f>E19+октябрь!F19</f>
        <v>0</v>
      </c>
      <c r="G19" s="19">
        <f t="shared" si="0"/>
        <v>0</v>
      </c>
      <c r="H19" s="20">
        <f t="shared" si="0"/>
        <v>0</v>
      </c>
      <c r="I19" s="9"/>
      <c r="J19" s="20">
        <f>I19+октябрь!J19</f>
        <v>0</v>
      </c>
      <c r="K19" s="8"/>
      <c r="L19" s="19">
        <f>K19+октябрь!L19</f>
        <v>0</v>
      </c>
    </row>
    <row r="20" spans="1:12" ht="14.1" customHeight="1">
      <c r="A20" s="1">
        <f t="shared" si="1"/>
        <v>18</v>
      </c>
      <c r="B20" s="39" t="str">
        <f>октябрь!B20</f>
        <v>Электроснабжение(общед.нужды)</v>
      </c>
      <c r="C20" s="8">
        <f>4096.41+997.48+2303.89</f>
        <v>7397.7799999999988</v>
      </c>
      <c r="D20" s="19">
        <f>C20+октябрь!D20</f>
        <v>97999.039999999979</v>
      </c>
      <c r="E20" s="9">
        <f>2205.76+356.34+3109.05</f>
        <v>5671.1500000000005</v>
      </c>
      <c r="F20" s="19">
        <f>E20+октябрь!F20</f>
        <v>94517.049999999988</v>
      </c>
      <c r="G20" s="19">
        <f t="shared" si="0"/>
        <v>-1726.6299999999983</v>
      </c>
      <c r="H20" s="20">
        <f t="shared" si="0"/>
        <v>-3481.9899999999907</v>
      </c>
      <c r="I20" s="9"/>
      <c r="J20" s="20">
        <f>I20+октябрь!J20</f>
        <v>0</v>
      </c>
      <c r="K20" s="8"/>
      <c r="L20" s="19">
        <f>K20+октябрь!L20</f>
        <v>0</v>
      </c>
    </row>
    <row r="21" spans="1:12" ht="14.1" customHeight="1">
      <c r="A21" s="1">
        <f t="shared" si="1"/>
        <v>19</v>
      </c>
      <c r="B21" s="39" t="str">
        <f>октябрь!B21</f>
        <v>Капитальный ремонт</v>
      </c>
      <c r="C21" s="53">
        <v>0</v>
      </c>
      <c r="D21" s="19">
        <f>C21+октябрь!D21</f>
        <v>0</v>
      </c>
      <c r="E21" s="53">
        <v>0</v>
      </c>
      <c r="F21" s="19">
        <f>E21+октябрь!F21</f>
        <v>0</v>
      </c>
      <c r="G21" s="19">
        <f t="shared" si="0"/>
        <v>0</v>
      </c>
      <c r="H21" s="20">
        <f t="shared" si="0"/>
        <v>0</v>
      </c>
      <c r="I21" s="9"/>
      <c r="J21" s="20">
        <f>I21+октябрь!J21</f>
        <v>0</v>
      </c>
      <c r="K21" s="8"/>
      <c r="L21" s="19">
        <f>K21+октябрь!L21</f>
        <v>0</v>
      </c>
    </row>
    <row r="22" spans="1:12" ht="14.1" customHeight="1">
      <c r="A22" s="1">
        <f t="shared" si="1"/>
        <v>20</v>
      </c>
      <c r="B22" s="39" t="str">
        <f>октябрь!B22</f>
        <v>Гор. Водоснабж. (о/д нужды)</v>
      </c>
      <c r="C22" s="8">
        <f>993.05+200.06</f>
        <v>1193.1099999999999</v>
      </c>
      <c r="D22" s="19">
        <f>C22+октябрь!D22</f>
        <v>18457.620000000003</v>
      </c>
      <c r="E22" s="9">
        <f>902.44+133.52</f>
        <v>1035.96</v>
      </c>
      <c r="F22" s="19">
        <f>E22+октябрь!F22</f>
        <v>17872.319999999996</v>
      </c>
      <c r="G22" s="19">
        <f t="shared" si="0"/>
        <v>-157.14999999999986</v>
      </c>
      <c r="H22" s="20">
        <f t="shared" si="0"/>
        <v>-585.30000000000655</v>
      </c>
      <c r="I22" s="9"/>
      <c r="J22" s="20">
        <f>I22+октябрь!J22</f>
        <v>0</v>
      </c>
      <c r="K22" s="8"/>
      <c r="L22" s="19">
        <f>K22+октябрь!L22</f>
        <v>0</v>
      </c>
    </row>
    <row r="23" spans="1:12" ht="14.1" customHeight="1">
      <c r="A23" s="17"/>
      <c r="B23" s="32" t="s">
        <v>12</v>
      </c>
      <c r="C23" s="30">
        <f t="shared" ref="C23:L23" si="2">SUM(C3:C22)</f>
        <v>140559.32999999999</v>
      </c>
      <c r="D23" s="30">
        <f t="shared" si="2"/>
        <v>1752205.45</v>
      </c>
      <c r="E23" s="31">
        <f t="shared" si="2"/>
        <v>145889.32</v>
      </c>
      <c r="F23" s="30">
        <f t="shared" si="2"/>
        <v>1616225.7300000002</v>
      </c>
      <c r="G23" s="30">
        <f t="shared" si="2"/>
        <v>5329.9900000000116</v>
      </c>
      <c r="H23" s="31">
        <f t="shared" si="2"/>
        <v>-135979.72</v>
      </c>
      <c r="I23" s="31">
        <f t="shared" si="2"/>
        <v>0</v>
      </c>
      <c r="J23" s="31">
        <f t="shared" si="2"/>
        <v>0</v>
      </c>
      <c r="K23" s="30">
        <f t="shared" si="2"/>
        <v>0</v>
      </c>
      <c r="L23" s="30">
        <f t="shared" si="2"/>
        <v>0</v>
      </c>
    </row>
    <row r="25" spans="1:12" ht="6" customHeight="1"/>
    <row r="26" spans="1:12">
      <c r="B26" s="1" t="s">
        <v>37</v>
      </c>
      <c r="C26" s="9">
        <f>C9+C10+C11+C15+C17+C18</f>
        <v>16200.379999999997</v>
      </c>
      <c r="D26" s="9">
        <f t="shared" ref="D26:J26" si="3">D9+D10+D11+D15+D17+D18</f>
        <v>250300.32</v>
      </c>
      <c r="E26" s="9">
        <f t="shared" si="3"/>
        <v>19218.5</v>
      </c>
      <c r="F26" s="9">
        <f t="shared" si="3"/>
        <v>224659.23000000004</v>
      </c>
      <c r="G26" s="9">
        <f t="shared" si="3"/>
        <v>3018.1200000000022</v>
      </c>
      <c r="H26" s="9">
        <f t="shared" si="3"/>
        <v>-25641.089999999967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35399.449999999997</v>
      </c>
      <c r="D27" s="9">
        <f t="shared" ref="D27:J27" si="4">D8+D20</f>
        <v>393645.16999999993</v>
      </c>
      <c r="E27" s="9">
        <f t="shared" si="4"/>
        <v>28282.820000000003</v>
      </c>
      <c r="F27" s="9">
        <f t="shared" si="4"/>
        <v>354386.57999999996</v>
      </c>
      <c r="G27" s="9">
        <f t="shared" si="4"/>
        <v>-7116.6299999999947</v>
      </c>
      <c r="H27" s="9">
        <f t="shared" si="4"/>
        <v>-39258.589999999938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46778.450000000004</v>
      </c>
      <c r="D28" s="9">
        <f t="shared" ref="D28:J28" si="5">D4+D5+D19+D22</f>
        <v>651568.14000000013</v>
      </c>
      <c r="E28" s="9">
        <f t="shared" si="5"/>
        <v>63173.750000000007</v>
      </c>
      <c r="F28" s="9">
        <f t="shared" si="5"/>
        <v>625838.53999999992</v>
      </c>
      <c r="G28" s="9">
        <f t="shared" si="5"/>
        <v>16395.300000000003</v>
      </c>
      <c r="H28" s="9">
        <f t="shared" si="5"/>
        <v>-25729.600000000111</v>
      </c>
      <c r="I28" s="9">
        <f t="shared" si="5"/>
        <v>0</v>
      </c>
      <c r="J28" s="9">
        <f t="shared" si="5"/>
        <v>0</v>
      </c>
    </row>
    <row r="31" spans="1:12">
      <c r="C31">
        <f>114693.03+25866.3</f>
        <v>140559.32999999999</v>
      </c>
      <c r="E31">
        <f>128554.44+17334.88</f>
        <v>145889.32</v>
      </c>
    </row>
    <row r="33" spans="3:5">
      <c r="C33" s="12"/>
      <c r="D33" s="11"/>
      <c r="E33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0"/>
  <sheetViews>
    <sheetView tabSelected="1" topLeftCell="A16" workbookViewId="0">
      <selection activeCell="C39" sqref="C39"/>
    </sheetView>
  </sheetViews>
  <sheetFormatPr defaultRowHeight="12.75"/>
  <cols>
    <col min="1" max="1" width="3.7109375" customWidth="1"/>
    <col min="2" max="2" width="31" customWidth="1"/>
    <col min="3" max="3" width="14.5703125" customWidth="1"/>
    <col min="4" max="4" width="14.85546875" customWidth="1"/>
    <col min="5" max="5" width="15.7109375" customWidth="1"/>
    <col min="6" max="6" width="16.85546875" customWidth="1"/>
    <col min="7" max="7" width="13.140625" customWidth="1"/>
    <col min="8" max="8" width="15.5703125" customWidth="1"/>
    <col min="9" max="9" width="10.28515625" customWidth="1"/>
    <col min="10" max="10" width="11.5703125" customWidth="1"/>
    <col min="11" max="11" width="9.28515625" bestFit="1" customWidth="1"/>
    <col min="12" max="12" width="11.85546875" customWidth="1"/>
    <col min="13" max="13" width="11.5703125" customWidth="1"/>
  </cols>
  <sheetData>
    <row r="2" spans="1:13">
      <c r="C2" s="11" t="s">
        <v>42</v>
      </c>
      <c r="D2" s="11"/>
      <c r="E2" s="11"/>
      <c r="F2" s="11"/>
    </row>
    <row r="3" spans="1:13" ht="26.25" customHeight="1">
      <c r="B3" s="11" t="s">
        <v>18</v>
      </c>
      <c r="C3" s="11" t="s">
        <v>43</v>
      </c>
    </row>
    <row r="4" spans="1:13" ht="25.5">
      <c r="A4" s="23" t="s">
        <v>0</v>
      </c>
      <c r="B4" s="24" t="s">
        <v>1</v>
      </c>
      <c r="C4" s="25" t="s">
        <v>2</v>
      </c>
      <c r="D4" s="26" t="s">
        <v>3</v>
      </c>
      <c r="E4" s="27" t="s">
        <v>4</v>
      </c>
      <c r="F4" s="26" t="s">
        <v>5</v>
      </c>
      <c r="G4" s="26" t="s">
        <v>6</v>
      </c>
      <c r="H4" s="28" t="s">
        <v>7</v>
      </c>
      <c r="I4" s="27" t="s">
        <v>8</v>
      </c>
      <c r="J4" s="28" t="s">
        <v>9</v>
      </c>
      <c r="K4" s="24" t="s">
        <v>10</v>
      </c>
      <c r="L4" s="26" t="s">
        <v>11</v>
      </c>
    </row>
    <row r="5" spans="1:13" ht="14.1" customHeight="1">
      <c r="A5" s="1">
        <v>1</v>
      </c>
      <c r="B5" s="39" t="str">
        <f>ноябрь!B3</f>
        <v>Содержание общ.имущ.дома</v>
      </c>
      <c r="C5" s="73">
        <f>3586.85+17712.05</f>
        <v>21298.899999999998</v>
      </c>
      <c r="D5" s="74">
        <f>C5+ноябрь!D3</f>
        <v>250009.03999999998</v>
      </c>
      <c r="E5" s="73">
        <f>2743.23+21352.06</f>
        <v>24095.29</v>
      </c>
      <c r="F5" s="74">
        <f>E5+ноябрь!F3</f>
        <v>229802.93000000002</v>
      </c>
      <c r="G5" s="74">
        <f>E5-C5</f>
        <v>2796.3900000000031</v>
      </c>
      <c r="H5" s="74">
        <f>F5-D5</f>
        <v>-20206.109999999957</v>
      </c>
      <c r="I5" s="78"/>
      <c r="J5" s="74">
        <f>I5+ноябрь!J3</f>
        <v>0</v>
      </c>
      <c r="K5" s="78"/>
      <c r="L5" s="74">
        <f>ноябрь!L3</f>
        <v>0</v>
      </c>
    </row>
    <row r="6" spans="1:13" ht="14.1" customHeight="1">
      <c r="A6" s="1">
        <f>A5+1</f>
        <v>2</v>
      </c>
      <c r="B6" s="39" t="str">
        <f>ноябрь!B4</f>
        <v>Отопление</v>
      </c>
      <c r="C6" s="73">
        <f>18426.61+90991.33</f>
        <v>109417.94</v>
      </c>
      <c r="D6" s="74">
        <f>C6+ноябрь!D4</f>
        <v>497450.65000000008</v>
      </c>
      <c r="E6" s="73">
        <f>4487.51+35120</f>
        <v>39607.51</v>
      </c>
      <c r="F6" s="74">
        <f>E6+ноябрь!F4</f>
        <v>424617.06000000006</v>
      </c>
      <c r="G6" s="74">
        <f t="shared" ref="G6:H24" si="0">E6-C6</f>
        <v>-69810.429999999993</v>
      </c>
      <c r="H6" s="74">
        <f t="shared" si="0"/>
        <v>-72833.590000000026</v>
      </c>
      <c r="I6" s="78"/>
      <c r="J6" s="74">
        <f>I6+ноябрь!J4</f>
        <v>0</v>
      </c>
      <c r="K6" s="78"/>
      <c r="L6" s="74">
        <f>ноябрь!L4</f>
        <v>0</v>
      </c>
      <c r="M6" s="12">
        <f>L6-J6</f>
        <v>0</v>
      </c>
    </row>
    <row r="7" spans="1:13" ht="14.1" customHeight="1">
      <c r="A7" s="1">
        <f t="shared" ref="A7:A22" si="1">A6+1</f>
        <v>3</v>
      </c>
      <c r="B7" s="39" t="str">
        <f>ноябрь!B5</f>
        <v>Горячее водоснабжение</v>
      </c>
      <c r="C7" s="73">
        <f>-1061.08+5079.93</f>
        <v>4018.8500000000004</v>
      </c>
      <c r="D7" s="74">
        <f>C7+ноябрь!D5</f>
        <v>249096.66000000003</v>
      </c>
      <c r="E7" s="73">
        <f>2195.95+12991.99</f>
        <v>15187.939999999999</v>
      </c>
      <c r="F7" s="74">
        <f>E7+ноябрь!F5</f>
        <v>238144.60999999996</v>
      </c>
      <c r="G7" s="74">
        <f t="shared" si="0"/>
        <v>11169.089999999998</v>
      </c>
      <c r="H7" s="74">
        <f t="shared" si="0"/>
        <v>-10952.050000000076</v>
      </c>
      <c r="I7" s="78"/>
      <c r="J7" s="74">
        <f>I7+ноябрь!J5</f>
        <v>0</v>
      </c>
      <c r="K7" s="78"/>
      <c r="L7" s="74">
        <f>ноябрь!L5</f>
        <v>0</v>
      </c>
    </row>
    <row r="8" spans="1:13" ht="14.1" customHeight="1">
      <c r="A8" s="1">
        <f t="shared" si="1"/>
        <v>4</v>
      </c>
      <c r="B8" s="39" t="str">
        <f>ноябрь!B6</f>
        <v>Газ</v>
      </c>
      <c r="C8" s="79">
        <v>0</v>
      </c>
      <c r="D8" s="74">
        <f>C8+ноябрь!D6</f>
        <v>3216.2599999999998</v>
      </c>
      <c r="E8" s="79">
        <v>0</v>
      </c>
      <c r="F8" s="74">
        <f>E8+ноябрь!F6</f>
        <v>2709.1800000000003</v>
      </c>
      <c r="G8" s="74">
        <f t="shared" si="0"/>
        <v>0</v>
      </c>
      <c r="H8" s="74">
        <f t="shared" si="0"/>
        <v>-507.07999999999947</v>
      </c>
      <c r="I8" s="78"/>
      <c r="J8" s="74">
        <f>I8+ноябрь!J6</f>
        <v>0</v>
      </c>
      <c r="K8" s="78"/>
      <c r="L8" s="74">
        <f>ноябрь!L6</f>
        <v>0</v>
      </c>
    </row>
    <row r="9" spans="1:13" ht="14.1" customHeight="1">
      <c r="A9" s="1">
        <f t="shared" si="1"/>
        <v>5</v>
      </c>
      <c r="B9" s="39" t="str">
        <f>ноябрь!B7</f>
        <v>Уборка и сан.очистка зем.уч.</v>
      </c>
      <c r="C9" s="73">
        <f>541.64+2674.62</f>
        <v>3216.2599999999998</v>
      </c>
      <c r="D9" s="74">
        <f>C9+ноябрь!D7</f>
        <v>34865.499999999993</v>
      </c>
      <c r="E9" s="73">
        <f>414.24+3223.57</f>
        <v>3637.8100000000004</v>
      </c>
      <c r="F9" s="74">
        <f>E9+ноябрь!F7</f>
        <v>32305.440000000002</v>
      </c>
      <c r="G9" s="74">
        <f t="shared" si="0"/>
        <v>421.55000000000064</v>
      </c>
      <c r="H9" s="74">
        <f t="shared" si="0"/>
        <v>-2560.0599999999904</v>
      </c>
      <c r="I9" s="78"/>
      <c r="J9" s="74">
        <f>I9+ноябрь!J7</f>
        <v>0</v>
      </c>
      <c r="K9" s="78"/>
      <c r="L9" s="74">
        <f>ноябрь!L7</f>
        <v>0</v>
      </c>
    </row>
    <row r="10" spans="1:13" ht="14.1" customHeight="1">
      <c r="A10" s="1">
        <f t="shared" si="1"/>
        <v>6</v>
      </c>
      <c r="B10" s="39" t="str">
        <f>ноябрь!B8</f>
        <v>Электроснабжение(инд.потр)</v>
      </c>
      <c r="C10" s="73">
        <f>4910.01+23091.66</f>
        <v>28001.67</v>
      </c>
      <c r="D10" s="74">
        <f>C10+ноябрь!D8</f>
        <v>323647.79999999993</v>
      </c>
      <c r="E10" s="73">
        <f>3433.01+27146.68</f>
        <v>30579.690000000002</v>
      </c>
      <c r="F10" s="74">
        <f>E10+ноябрь!F8</f>
        <v>290449.21999999997</v>
      </c>
      <c r="G10" s="74">
        <f t="shared" si="0"/>
        <v>2578.0200000000041</v>
      </c>
      <c r="H10" s="74">
        <f t="shared" si="0"/>
        <v>-33198.579999999958</v>
      </c>
      <c r="I10" s="78"/>
      <c r="J10" s="74">
        <f>I10+ноябрь!J8</f>
        <v>0</v>
      </c>
      <c r="K10" s="78"/>
      <c r="L10" s="74">
        <f>ноябрь!L8</f>
        <v>0</v>
      </c>
    </row>
    <row r="11" spans="1:13" ht="14.1" customHeight="1">
      <c r="A11" s="1">
        <f t="shared" si="1"/>
        <v>7</v>
      </c>
      <c r="B11" s="39" t="str">
        <f>ноябрь!B9</f>
        <v>Холодная вода</v>
      </c>
      <c r="C11" s="73">
        <f>-122.17+1717.99</f>
        <v>1595.82</v>
      </c>
      <c r="D11" s="74">
        <f>C11+ноябрь!D9</f>
        <v>89306.57</v>
      </c>
      <c r="E11" s="73">
        <f>1013.41+6407.18</f>
        <v>7420.59</v>
      </c>
      <c r="F11" s="74">
        <f>E11+ноябрь!F9</f>
        <v>85994.69</v>
      </c>
      <c r="G11" s="74">
        <f t="shared" si="0"/>
        <v>5824.77</v>
      </c>
      <c r="H11" s="74">
        <f t="shared" si="0"/>
        <v>-3311.8800000000047</v>
      </c>
      <c r="I11" s="78"/>
      <c r="J11" s="74">
        <f>I11+ноябрь!J9</f>
        <v>0</v>
      </c>
      <c r="K11" s="78"/>
      <c r="L11" s="74">
        <f>ноябрь!L9</f>
        <v>0</v>
      </c>
    </row>
    <row r="12" spans="1:13" ht="14.1" customHeight="1">
      <c r="A12" s="1">
        <f t="shared" si="1"/>
        <v>8</v>
      </c>
      <c r="B12" s="39" t="str">
        <f>ноябрь!B10</f>
        <v>Канализирование х.воды</v>
      </c>
      <c r="C12" s="79">
        <v>0</v>
      </c>
      <c r="D12" s="74">
        <f>C12+ноябрь!D10</f>
        <v>0</v>
      </c>
      <c r="E12" s="79">
        <v>0</v>
      </c>
      <c r="F12" s="74">
        <f>E12+ноябрь!F10</f>
        <v>0.06</v>
      </c>
      <c r="G12" s="74">
        <f t="shared" si="0"/>
        <v>0</v>
      </c>
      <c r="H12" s="74">
        <f t="shared" si="0"/>
        <v>0.06</v>
      </c>
      <c r="I12" s="78"/>
      <c r="J12" s="74">
        <f>I12+ноябрь!J10</f>
        <v>0</v>
      </c>
      <c r="K12" s="78"/>
      <c r="L12" s="74">
        <f>ноябрь!L10</f>
        <v>0</v>
      </c>
    </row>
    <row r="13" spans="1:13" ht="14.1" customHeight="1">
      <c r="A13" s="1">
        <f t="shared" si="1"/>
        <v>9</v>
      </c>
      <c r="B13" s="39" t="str">
        <f>ноябрь!B11</f>
        <v>Канализирование г.воды</v>
      </c>
      <c r="C13" s="79">
        <v>0</v>
      </c>
      <c r="D13" s="74">
        <f>C13+ноябрь!D11</f>
        <v>0</v>
      </c>
      <c r="E13" s="79">
        <v>0</v>
      </c>
      <c r="F13" s="74">
        <f>E13+ноябрь!F11</f>
        <v>0.04</v>
      </c>
      <c r="G13" s="74">
        <f t="shared" si="0"/>
        <v>0</v>
      </c>
      <c r="H13" s="74">
        <f t="shared" si="0"/>
        <v>0.04</v>
      </c>
      <c r="I13" s="78"/>
      <c r="J13" s="74">
        <f>I13+ноябрь!J11</f>
        <v>0</v>
      </c>
      <c r="K13" s="78"/>
      <c r="L13" s="74">
        <f>ноябрь!L11</f>
        <v>0</v>
      </c>
    </row>
    <row r="14" spans="1:13" ht="14.1" customHeight="1">
      <c r="A14" s="1">
        <f t="shared" si="1"/>
        <v>10</v>
      </c>
      <c r="B14" s="39" t="str">
        <f>ноябрь!B12</f>
        <v>Тек.рем.общ.имущ.дома</v>
      </c>
      <c r="C14" s="73">
        <f>1789.09+8834.69</f>
        <v>10623.78</v>
      </c>
      <c r="D14" s="74">
        <f>C14+ноябрь!D12</f>
        <v>127485.35999999999</v>
      </c>
      <c r="E14" s="73">
        <f>1368.3+10652.9</f>
        <v>12021.199999999999</v>
      </c>
      <c r="F14" s="74">
        <f>E14+ноябрь!F12</f>
        <v>117695.18</v>
      </c>
      <c r="G14" s="74">
        <f t="shared" si="0"/>
        <v>1397.4199999999983</v>
      </c>
      <c r="H14" s="74">
        <f t="shared" si="0"/>
        <v>-9790.179999999993</v>
      </c>
      <c r="I14" s="78"/>
      <c r="J14" s="74">
        <f>I14+ноябрь!J12</f>
        <v>0</v>
      </c>
      <c r="K14" s="78"/>
      <c r="L14" s="74">
        <f>ноябрь!L12</f>
        <v>0</v>
      </c>
    </row>
    <row r="15" spans="1:13" ht="14.1" customHeight="1">
      <c r="A15" s="1">
        <f t="shared" si="1"/>
        <v>11</v>
      </c>
      <c r="B15" s="39" t="str">
        <f>ноябрь!B13</f>
        <v>Сод.и тек.рем.в/дом.газосн</v>
      </c>
      <c r="C15" s="73">
        <f>174.42+606.28</f>
        <v>780.69999999999993</v>
      </c>
      <c r="D15" s="74">
        <f>C15+ноябрь!D13</f>
        <v>12573.39</v>
      </c>
      <c r="E15" s="73">
        <f>149.82+687.4</f>
        <v>837.22</v>
      </c>
      <c r="F15" s="74">
        <f>E15+ноябрь!F13</f>
        <v>11801.2</v>
      </c>
      <c r="G15" s="74">
        <f t="shared" si="0"/>
        <v>56.520000000000095</v>
      </c>
      <c r="H15" s="74">
        <f t="shared" si="0"/>
        <v>-772.18999999999869</v>
      </c>
      <c r="I15" s="78"/>
      <c r="J15" s="74">
        <f>I15+ноябрь!J13</f>
        <v>0</v>
      </c>
      <c r="K15" s="78"/>
      <c r="L15" s="74">
        <f>ноябрь!L13</f>
        <v>0</v>
      </c>
    </row>
    <row r="16" spans="1:13" ht="14.1" customHeight="1">
      <c r="A16" s="1">
        <f t="shared" si="1"/>
        <v>12</v>
      </c>
      <c r="B16" s="39" t="str">
        <f>ноябрь!B14</f>
        <v>Управление многокв.домом</v>
      </c>
      <c r="C16" s="73">
        <f>864.3+4267.95</f>
        <v>5132.25</v>
      </c>
      <c r="D16" s="74">
        <f>C16+ноябрь!D14</f>
        <v>57173.4</v>
      </c>
      <c r="E16" s="73">
        <f>661.02+5138.72</f>
        <v>5799.74</v>
      </c>
      <c r="F16" s="74">
        <f>E16+ноябрь!F14</f>
        <v>52202.8</v>
      </c>
      <c r="G16" s="74">
        <f t="shared" si="0"/>
        <v>667.48999999999978</v>
      </c>
      <c r="H16" s="74">
        <f t="shared" si="0"/>
        <v>-4970.5999999999985</v>
      </c>
      <c r="I16" s="78"/>
      <c r="J16" s="74">
        <f>I16+ноябрь!J14</f>
        <v>0</v>
      </c>
      <c r="K16" s="78"/>
      <c r="L16" s="74">
        <f>ноябрь!L14</f>
        <v>0</v>
      </c>
    </row>
    <row r="17" spans="1:12" ht="14.1" customHeight="1">
      <c r="A17" s="1">
        <f t="shared" si="1"/>
        <v>13</v>
      </c>
      <c r="B17" s="39" t="str">
        <f>ноябрь!B15</f>
        <v>Водоотведение(кв)</v>
      </c>
      <c r="C17" s="73">
        <f>-426.98+3189.11</f>
        <v>2762.13</v>
      </c>
      <c r="D17" s="74">
        <f>C17+ноябрь!D15</f>
        <v>159499.32</v>
      </c>
      <c r="E17" s="73">
        <f>1644.21+10159.58</f>
        <v>11803.79</v>
      </c>
      <c r="F17" s="74">
        <f>E17+ноябрь!F15</f>
        <v>152578.32000000004</v>
      </c>
      <c r="G17" s="74">
        <f t="shared" si="0"/>
        <v>9041.66</v>
      </c>
      <c r="H17" s="74">
        <f t="shared" si="0"/>
        <v>-6920.9999999999709</v>
      </c>
      <c r="I17" s="78"/>
      <c r="J17" s="74">
        <f>I17+ноябрь!J15</f>
        <v>0</v>
      </c>
      <c r="K17" s="78"/>
      <c r="L17" s="74">
        <f>ноябрь!L15</f>
        <v>0</v>
      </c>
    </row>
    <row r="18" spans="1:12" ht="14.1" customHeight="1">
      <c r="A18" s="1">
        <f t="shared" si="1"/>
        <v>14</v>
      </c>
      <c r="B18" s="39" t="str">
        <f>ноябрь!B16</f>
        <v>Эксплуатация общед.ПУ</v>
      </c>
      <c r="C18" s="73">
        <f>190.17+938.99</f>
        <v>1129.1600000000001</v>
      </c>
      <c r="D18" s="74">
        <f>C18+ноябрь!D16</f>
        <v>13549.92</v>
      </c>
      <c r="E18" s="73">
        <f>145.44+1132.6</f>
        <v>1278.04</v>
      </c>
      <c r="F18" s="74">
        <f>E18+ноябрь!F16</f>
        <v>12493.95</v>
      </c>
      <c r="G18" s="74">
        <f t="shared" si="0"/>
        <v>148.87999999999988</v>
      </c>
      <c r="H18" s="74">
        <f t="shared" si="0"/>
        <v>-1055.9699999999993</v>
      </c>
      <c r="I18" s="78"/>
      <c r="J18" s="74">
        <f>I18+ноябрь!J16</f>
        <v>0</v>
      </c>
      <c r="K18" s="78"/>
      <c r="L18" s="74">
        <f>ноябрь!L16</f>
        <v>0</v>
      </c>
    </row>
    <row r="19" spans="1:12" ht="14.1" customHeight="1">
      <c r="A19" s="1">
        <f t="shared" si="1"/>
        <v>15</v>
      </c>
      <c r="B19" s="39" t="str">
        <f>ноябрь!B17</f>
        <v>Хол. водоснаб(о/д нужды)</v>
      </c>
      <c r="C19" s="73">
        <f>93.27+459.71</f>
        <v>552.98</v>
      </c>
      <c r="D19" s="74">
        <f>C19+ноябрь!D17</f>
        <v>6405.3599999999988</v>
      </c>
      <c r="E19" s="73">
        <f>71.19+558.77</f>
        <v>629.96</v>
      </c>
      <c r="F19" s="74">
        <f>E19+ноябрь!F17</f>
        <v>5940.46</v>
      </c>
      <c r="G19" s="74">
        <f t="shared" si="0"/>
        <v>76.980000000000018</v>
      </c>
      <c r="H19" s="74">
        <f t="shared" si="0"/>
        <v>-464.89999999999873</v>
      </c>
      <c r="I19" s="78"/>
      <c r="J19" s="74">
        <f>I19+ноябрь!J17</f>
        <v>0</v>
      </c>
      <c r="K19" s="78"/>
      <c r="L19" s="74">
        <f>ноябрь!L17</f>
        <v>0</v>
      </c>
    </row>
    <row r="20" spans="1:12" ht="14.1" customHeight="1">
      <c r="A20" s="1">
        <f t="shared" si="1"/>
        <v>16</v>
      </c>
      <c r="B20" s="39" t="str">
        <f>ноябрь!B18</f>
        <v>Водоотведение(о/д нужды)</v>
      </c>
      <c r="C20" s="79">
        <v>0</v>
      </c>
      <c r="D20" s="74">
        <f>C20+ноябрь!D18</f>
        <v>0</v>
      </c>
      <c r="E20" s="79">
        <v>0</v>
      </c>
      <c r="F20" s="74">
        <f>E20+ноябрь!F18</f>
        <v>0</v>
      </c>
      <c r="G20" s="74">
        <f t="shared" si="0"/>
        <v>0</v>
      </c>
      <c r="H20" s="74">
        <f t="shared" si="0"/>
        <v>0</v>
      </c>
      <c r="I20" s="78"/>
      <c r="J20" s="74">
        <f>I20+ноябрь!J18</f>
        <v>0</v>
      </c>
      <c r="K20" s="78"/>
      <c r="L20" s="74">
        <f>ноябрь!L18</f>
        <v>0</v>
      </c>
    </row>
    <row r="21" spans="1:12" ht="14.1" customHeight="1">
      <c r="A21" s="1">
        <f t="shared" si="1"/>
        <v>17</v>
      </c>
      <c r="B21" s="39" t="str">
        <f>ноябрь!B19</f>
        <v>Отопление(о/д нужды)</v>
      </c>
      <c r="C21" s="79">
        <v>0</v>
      </c>
      <c r="D21" s="74">
        <f>C21+ноябрь!D19</f>
        <v>0</v>
      </c>
      <c r="E21" s="73">
        <v>0</v>
      </c>
      <c r="F21" s="74">
        <f>E21+ноябрь!F19</f>
        <v>0</v>
      </c>
      <c r="G21" s="74">
        <f t="shared" si="0"/>
        <v>0</v>
      </c>
      <c r="H21" s="74">
        <f t="shared" si="0"/>
        <v>0</v>
      </c>
      <c r="I21" s="78"/>
      <c r="J21" s="74">
        <f>I21+ноябрь!J19</f>
        <v>0</v>
      </c>
      <c r="K21" s="78"/>
      <c r="L21" s="74">
        <f>ноябрь!L19</f>
        <v>0</v>
      </c>
    </row>
    <row r="22" spans="1:12" ht="14.1" customHeight="1">
      <c r="A22" s="1">
        <f t="shared" si="1"/>
        <v>18</v>
      </c>
      <c r="B22" s="39" t="str">
        <f>ноябрь!B20</f>
        <v>Электроснабжение(общед.нужды)</v>
      </c>
      <c r="C22" s="73">
        <f>1352.35+4788.77+2303.89</f>
        <v>8445.01</v>
      </c>
      <c r="D22" s="74">
        <f>C22+ноябрь!D20</f>
        <v>106444.04999999997</v>
      </c>
      <c r="E22" s="73">
        <f>732.32+5351.66+4122.43</f>
        <v>10206.41</v>
      </c>
      <c r="F22" s="74">
        <f>E22+ноябрь!F20</f>
        <v>104723.45999999999</v>
      </c>
      <c r="G22" s="74">
        <f t="shared" si="0"/>
        <v>1761.3999999999996</v>
      </c>
      <c r="H22" s="74">
        <f t="shared" si="0"/>
        <v>-1720.589999999982</v>
      </c>
      <c r="I22" s="78"/>
      <c r="J22" s="74">
        <f>I22+ноябрь!J20</f>
        <v>0</v>
      </c>
      <c r="K22" s="78"/>
      <c r="L22" s="74">
        <f>ноябрь!L20</f>
        <v>0</v>
      </c>
    </row>
    <row r="23" spans="1:12" ht="14.1" customHeight="1">
      <c r="A23" s="1">
        <v>19</v>
      </c>
      <c r="B23" s="39" t="str">
        <f>ноябрь!B21</f>
        <v>Капитальный ремонт</v>
      </c>
      <c r="C23" s="79">
        <v>0</v>
      </c>
      <c r="D23" s="74">
        <f>C23+ноябрь!D21</f>
        <v>0</v>
      </c>
      <c r="E23" s="79">
        <v>0</v>
      </c>
      <c r="F23" s="74">
        <f>E23+ноябрь!F21</f>
        <v>0</v>
      </c>
      <c r="G23" s="74">
        <f t="shared" si="0"/>
        <v>0</v>
      </c>
      <c r="H23" s="74">
        <f t="shared" si="0"/>
        <v>0</v>
      </c>
      <c r="I23" s="78"/>
      <c r="J23" s="74">
        <f>I23+ноябрь!J21</f>
        <v>0</v>
      </c>
      <c r="K23" s="78"/>
      <c r="L23" s="74">
        <f>ноябрь!L21</f>
        <v>0</v>
      </c>
    </row>
    <row r="24" spans="1:12" ht="14.1" customHeight="1">
      <c r="A24" s="1">
        <v>20</v>
      </c>
      <c r="B24" s="39" t="str">
        <f>ноябрь!B22</f>
        <v>Гор. Водоснабж. (о/д нужды)</v>
      </c>
      <c r="C24" s="73">
        <f>200.06+993.05</f>
        <v>1193.1099999999999</v>
      </c>
      <c r="D24" s="74">
        <f>C24+ноябрь!D22</f>
        <v>19650.730000000003</v>
      </c>
      <c r="E24" s="73">
        <f>153.65+1241</f>
        <v>1394.65</v>
      </c>
      <c r="F24" s="74">
        <f>E24+ноябрь!F22</f>
        <v>19266.969999999998</v>
      </c>
      <c r="G24" s="74">
        <f t="shared" si="0"/>
        <v>201.54000000000019</v>
      </c>
      <c r="H24" s="74">
        <f t="shared" si="0"/>
        <v>-383.76000000000568</v>
      </c>
      <c r="I24" s="78"/>
      <c r="J24" s="74">
        <f>I24+ноябрь!J22</f>
        <v>0</v>
      </c>
      <c r="K24" s="78"/>
      <c r="L24" s="74">
        <f>ноябрь!L22</f>
        <v>0</v>
      </c>
    </row>
    <row r="25" spans="1:12" ht="14.1" customHeight="1">
      <c r="A25" s="17"/>
      <c r="B25" s="32" t="s">
        <v>12</v>
      </c>
      <c r="C25" s="91">
        <f t="shared" ref="C25:L25" si="2">SUM(C5:C24)</f>
        <v>198168.56000000003</v>
      </c>
      <c r="D25" s="92">
        <f t="shared" si="2"/>
        <v>1950374.0100000002</v>
      </c>
      <c r="E25" s="91">
        <f t="shared" si="2"/>
        <v>164499.84</v>
      </c>
      <c r="F25" s="92">
        <f t="shared" si="2"/>
        <v>1780725.57</v>
      </c>
      <c r="G25" s="92">
        <f t="shared" si="2"/>
        <v>-33668.719999999987</v>
      </c>
      <c r="H25" s="92">
        <f t="shared" si="2"/>
        <v>-169648.43999999994</v>
      </c>
      <c r="I25" s="92">
        <f t="shared" si="2"/>
        <v>0</v>
      </c>
      <c r="J25" s="92">
        <f t="shared" si="2"/>
        <v>0</v>
      </c>
      <c r="K25" s="92">
        <f t="shared" si="2"/>
        <v>0</v>
      </c>
      <c r="L25" s="92">
        <f t="shared" si="2"/>
        <v>0</v>
      </c>
    </row>
    <row r="26" spans="1:12"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>
      <c r="B28" s="40" t="s">
        <v>35</v>
      </c>
      <c r="C28" s="78">
        <f t="shared" ref="C28:H28" si="3">C5+C9+C14+C15+C16+C18</f>
        <v>42181.049999999996</v>
      </c>
      <c r="D28" s="78">
        <f t="shared" si="3"/>
        <v>495656.61</v>
      </c>
      <c r="E28" s="78">
        <f t="shared" si="3"/>
        <v>47669.3</v>
      </c>
      <c r="F28" s="78">
        <f t="shared" si="3"/>
        <v>456301.50000000006</v>
      </c>
      <c r="G28" s="78">
        <f t="shared" si="3"/>
        <v>5488.2500000000027</v>
      </c>
      <c r="H28" s="78">
        <f t="shared" si="3"/>
        <v>-39355.109999999935</v>
      </c>
      <c r="I28" s="93"/>
      <c r="J28" s="93"/>
      <c r="K28" s="93"/>
      <c r="L28" s="93"/>
    </row>
    <row r="29" spans="1:12">
      <c r="B29" s="41" t="s">
        <v>37</v>
      </c>
      <c r="C29" s="94">
        <f>C11+C12+C13+C17+C19+C20</f>
        <v>4910.93</v>
      </c>
      <c r="D29" s="94">
        <f>D11+D12+D13+D17+D19+D20</f>
        <v>255211.25</v>
      </c>
      <c r="E29" s="94">
        <f t="shared" ref="E29:H29" si="4">E11+E12+E13+E17+E19+E20</f>
        <v>19854.34</v>
      </c>
      <c r="F29" s="94">
        <f t="shared" si="4"/>
        <v>244513.57000000004</v>
      </c>
      <c r="G29" s="94">
        <f t="shared" si="4"/>
        <v>14943.41</v>
      </c>
      <c r="H29" s="94">
        <f t="shared" si="4"/>
        <v>-10697.679999999975</v>
      </c>
      <c r="I29" s="94">
        <f t="shared" ref="I29:J29" si="5">I11+I12+I13+I17+I19+I20</f>
        <v>0</v>
      </c>
      <c r="J29" s="94">
        <f t="shared" si="5"/>
        <v>0</v>
      </c>
      <c r="K29" s="93"/>
      <c r="L29" s="93"/>
    </row>
    <row r="30" spans="1:12">
      <c r="B30" s="41" t="s">
        <v>38</v>
      </c>
      <c r="C30" s="94">
        <f>C10+C22</f>
        <v>36446.68</v>
      </c>
      <c r="D30" s="94">
        <f>D10+D22</f>
        <v>430091.84999999992</v>
      </c>
      <c r="E30" s="94">
        <f t="shared" ref="E30:H30" si="6">E10+E22</f>
        <v>40786.100000000006</v>
      </c>
      <c r="F30" s="94">
        <f t="shared" si="6"/>
        <v>395172.67999999993</v>
      </c>
      <c r="G30" s="94">
        <f t="shared" si="6"/>
        <v>4339.4200000000037</v>
      </c>
      <c r="H30" s="94">
        <f t="shared" si="6"/>
        <v>-34919.16999999994</v>
      </c>
      <c r="I30" s="94">
        <f t="shared" ref="I30:J30" si="7">I10+I22</f>
        <v>0</v>
      </c>
      <c r="J30" s="94">
        <f t="shared" si="7"/>
        <v>0</v>
      </c>
      <c r="K30" s="93"/>
      <c r="L30" s="93"/>
    </row>
    <row r="31" spans="1:12">
      <c r="B31" s="41" t="s">
        <v>39</v>
      </c>
      <c r="C31" s="94">
        <f>C6+C7+C21+C24</f>
        <v>114629.90000000001</v>
      </c>
      <c r="D31" s="94">
        <f t="shared" ref="D31:J31" si="8">D6+D7+D21+D24</f>
        <v>766198.04</v>
      </c>
      <c r="E31" s="94">
        <f t="shared" si="8"/>
        <v>56190.1</v>
      </c>
      <c r="F31" s="94">
        <f t="shared" si="8"/>
        <v>682028.64</v>
      </c>
      <c r="G31" s="94">
        <f t="shared" si="8"/>
        <v>-58439.799999999996</v>
      </c>
      <c r="H31" s="94">
        <f t="shared" si="8"/>
        <v>-84169.400000000111</v>
      </c>
      <c r="I31" s="94">
        <f t="shared" si="8"/>
        <v>0</v>
      </c>
      <c r="J31" s="94">
        <f t="shared" si="8"/>
        <v>0</v>
      </c>
      <c r="K31" s="93"/>
      <c r="L31" s="93"/>
    </row>
    <row r="32" spans="1:12"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3:12"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3:12">
      <c r="C34" s="95">
        <f>30518.54+167650.02</f>
        <v>198168.56</v>
      </c>
      <c r="D34" s="95"/>
      <c r="E34" s="95">
        <f>19213.3+145286.54</f>
        <v>164499.84</v>
      </c>
      <c r="F34" s="93"/>
      <c r="G34" s="93"/>
      <c r="H34" s="93"/>
      <c r="I34" s="93"/>
      <c r="J34" s="93"/>
      <c r="K34" s="93"/>
      <c r="L34" s="93"/>
    </row>
    <row r="35" spans="3:12">
      <c r="C35" s="96"/>
      <c r="D35" s="96"/>
      <c r="E35" s="96"/>
      <c r="F35" s="97"/>
      <c r="G35" s="97"/>
      <c r="H35" s="97"/>
      <c r="I35" s="97"/>
      <c r="J35" s="97"/>
      <c r="K35" s="97"/>
      <c r="L35" s="97"/>
    </row>
    <row r="36" spans="3:12">
      <c r="C36" s="65"/>
      <c r="D36" s="65"/>
      <c r="E36" s="65"/>
    </row>
    <row r="37" spans="3:12">
      <c r="C37" s="64"/>
      <c r="D37" s="64"/>
      <c r="E37" s="64"/>
    </row>
    <row r="38" spans="3:12">
      <c r="C38" s="64"/>
      <c r="D38" s="64"/>
      <c r="E38" s="64"/>
    </row>
    <row r="39" spans="3:12">
      <c r="C39" s="64"/>
      <c r="D39" s="64"/>
      <c r="E39" s="64"/>
    </row>
    <row r="40" spans="3:12">
      <c r="C40" s="64"/>
      <c r="D40" s="64"/>
      <c r="E40" s="64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42"/>
  <sheetViews>
    <sheetView workbookViewId="0">
      <selection activeCell="D5" sqref="D5"/>
    </sheetView>
  </sheetViews>
  <sheetFormatPr defaultRowHeight="12.75"/>
  <cols>
    <col min="1" max="1" width="3.7109375" customWidth="1"/>
    <col min="2" max="2" width="31" customWidth="1"/>
    <col min="3" max="3" width="14.5703125" customWidth="1"/>
    <col min="4" max="4" width="14.85546875" customWidth="1"/>
    <col min="5" max="5" width="15.7109375" customWidth="1"/>
    <col min="6" max="6" width="16.85546875" customWidth="1"/>
    <col min="7" max="7" width="9.7109375" bestFit="1" customWidth="1"/>
    <col min="8" max="8" width="15.5703125" customWidth="1"/>
    <col min="9" max="9" width="10.28515625" customWidth="1"/>
    <col min="10" max="10" width="11.5703125" customWidth="1"/>
    <col min="11" max="11" width="9.28515625" bestFit="1" customWidth="1"/>
    <col min="12" max="12" width="11.85546875" customWidth="1"/>
    <col min="13" max="13" width="11.5703125" customWidth="1"/>
  </cols>
  <sheetData>
    <row r="2" spans="1:13">
      <c r="C2" s="11" t="s">
        <v>42</v>
      </c>
      <c r="D2" s="11"/>
      <c r="E2" s="11"/>
      <c r="F2" s="11"/>
    </row>
    <row r="3" spans="1:13" ht="26.25" customHeight="1">
      <c r="B3" s="11" t="s">
        <v>18</v>
      </c>
      <c r="C3" s="11" t="s">
        <v>55</v>
      </c>
    </row>
    <row r="4" spans="1:13" ht="25.5">
      <c r="A4" s="23" t="s">
        <v>0</v>
      </c>
      <c r="B4" s="24" t="s">
        <v>1</v>
      </c>
      <c r="C4" s="25" t="s">
        <v>2</v>
      </c>
      <c r="D4" s="26" t="s">
        <v>3</v>
      </c>
      <c r="E4" s="27" t="s">
        <v>4</v>
      </c>
      <c r="F4" s="26" t="s">
        <v>5</v>
      </c>
      <c r="G4" s="26" t="s">
        <v>6</v>
      </c>
      <c r="H4" s="28" t="s">
        <v>7</v>
      </c>
      <c r="I4" s="27" t="s">
        <v>8</v>
      </c>
      <c r="J4" s="28" t="s">
        <v>9</v>
      </c>
      <c r="K4" s="24" t="s">
        <v>10</v>
      </c>
      <c r="L4" s="26" t="s">
        <v>11</v>
      </c>
    </row>
    <row r="5" spans="1:13" ht="14.1" customHeight="1">
      <c r="A5" s="1">
        <v>1</v>
      </c>
      <c r="B5" s="39" t="str">
        <f>ноябрь!B3</f>
        <v>Содержание общ.имущ.дома</v>
      </c>
      <c r="C5" s="73"/>
      <c r="D5" s="74">
        <f>C5+ноябрь!D3</f>
        <v>228710.13999999998</v>
      </c>
      <c r="E5" s="75"/>
      <c r="F5" s="74">
        <f>E5+ноябрь!F3</f>
        <v>205707.64</v>
      </c>
      <c r="G5" s="74">
        <f>E5-C5</f>
        <v>0</v>
      </c>
      <c r="H5" s="76">
        <f>F5-D5</f>
        <v>-23002.499999999971</v>
      </c>
      <c r="I5" s="77"/>
      <c r="J5" s="76">
        <f>I5+ноябрь!J3</f>
        <v>0</v>
      </c>
      <c r="K5" s="78"/>
      <c r="L5" s="74">
        <f>ноябрь!L3</f>
        <v>0</v>
      </c>
    </row>
    <row r="6" spans="1:13" ht="14.1" customHeight="1">
      <c r="A6" s="1">
        <f>A5+1</f>
        <v>2</v>
      </c>
      <c r="B6" s="39" t="str">
        <f>ноябрь!B4</f>
        <v>Отопление</v>
      </c>
      <c r="C6" s="73"/>
      <c r="D6" s="74">
        <f>C6+ноябрь!D4</f>
        <v>388032.71000000008</v>
      </c>
      <c r="E6" s="75"/>
      <c r="F6" s="74">
        <f>E6+ноябрь!F4</f>
        <v>385009.55000000005</v>
      </c>
      <c r="G6" s="74">
        <f t="shared" ref="G6:H24" si="0">E6-C6</f>
        <v>0</v>
      </c>
      <c r="H6" s="76">
        <f t="shared" si="0"/>
        <v>-3023.1600000000326</v>
      </c>
      <c r="I6" s="77"/>
      <c r="J6" s="76">
        <f>I6+ноябрь!J4</f>
        <v>0</v>
      </c>
      <c r="K6" s="78"/>
      <c r="L6" s="74">
        <f>ноябрь!L4</f>
        <v>0</v>
      </c>
      <c r="M6" s="12">
        <f>L6-J6</f>
        <v>0</v>
      </c>
    </row>
    <row r="7" spans="1:13" ht="14.1" customHeight="1">
      <c r="A7" s="1">
        <f t="shared" ref="A7:A22" si="1">A6+1</f>
        <v>3</v>
      </c>
      <c r="B7" s="39" t="str">
        <f>ноябрь!B5</f>
        <v>Горячее водоснабжение</v>
      </c>
      <c r="C7" s="73"/>
      <c r="D7" s="74">
        <f>C7+ноябрь!D5</f>
        <v>245077.81000000003</v>
      </c>
      <c r="E7" s="75"/>
      <c r="F7" s="74">
        <f>E7+ноябрь!F5</f>
        <v>222956.66999999995</v>
      </c>
      <c r="G7" s="74">
        <f t="shared" si="0"/>
        <v>0</v>
      </c>
      <c r="H7" s="76">
        <f t="shared" si="0"/>
        <v>-22121.140000000072</v>
      </c>
      <c r="I7" s="77"/>
      <c r="J7" s="76">
        <f>I7+ноябрь!J5</f>
        <v>0</v>
      </c>
      <c r="K7" s="78"/>
      <c r="L7" s="74">
        <f>ноябрь!L5</f>
        <v>0</v>
      </c>
    </row>
    <row r="8" spans="1:13" ht="14.1" customHeight="1">
      <c r="A8" s="1">
        <f t="shared" si="1"/>
        <v>4</v>
      </c>
      <c r="B8" s="39" t="str">
        <f>ноябрь!B6</f>
        <v>Газ</v>
      </c>
      <c r="C8" s="79"/>
      <c r="D8" s="74">
        <f>C8+ноябрь!D6</f>
        <v>3216.2599999999998</v>
      </c>
      <c r="E8" s="79"/>
      <c r="F8" s="74">
        <f>E8+ноябрь!F6</f>
        <v>2709.1800000000003</v>
      </c>
      <c r="G8" s="74">
        <f t="shared" si="0"/>
        <v>0</v>
      </c>
      <c r="H8" s="76">
        <f t="shared" si="0"/>
        <v>-507.07999999999947</v>
      </c>
      <c r="I8" s="77"/>
      <c r="J8" s="76">
        <f>I8+ноябрь!J6</f>
        <v>0</v>
      </c>
      <c r="K8" s="78"/>
      <c r="L8" s="74">
        <f>ноябрь!L6</f>
        <v>0</v>
      </c>
    </row>
    <row r="9" spans="1:13" ht="14.1" customHeight="1">
      <c r="A9" s="1">
        <f t="shared" si="1"/>
        <v>5</v>
      </c>
      <c r="B9" s="39" t="str">
        <f>ноябрь!B7</f>
        <v>Уборка и сан.очистка зем.уч.</v>
      </c>
      <c r="C9" s="73"/>
      <c r="D9" s="74">
        <f>C9+ноябрь!D7</f>
        <v>31649.239999999994</v>
      </c>
      <c r="E9" s="75"/>
      <c r="F9" s="74">
        <f>E9+ноябрь!F7</f>
        <v>28667.63</v>
      </c>
      <c r="G9" s="74">
        <f t="shared" si="0"/>
        <v>0</v>
      </c>
      <c r="H9" s="76">
        <f t="shared" si="0"/>
        <v>-2981.6099999999933</v>
      </c>
      <c r="I9" s="77"/>
      <c r="J9" s="76">
        <f>I9+ноябрь!J7</f>
        <v>0</v>
      </c>
      <c r="K9" s="78"/>
      <c r="L9" s="74">
        <f>ноябрь!L7</f>
        <v>0</v>
      </c>
    </row>
    <row r="10" spans="1:13" ht="14.1" customHeight="1">
      <c r="A10" s="1">
        <f t="shared" si="1"/>
        <v>6</v>
      </c>
      <c r="B10" s="39" t="str">
        <f>ноябрь!B8</f>
        <v>Электроснабжение(инд.потр)</v>
      </c>
      <c r="C10" s="73"/>
      <c r="D10" s="74">
        <f>C10+ноябрь!D8</f>
        <v>295646.12999999995</v>
      </c>
      <c r="E10" s="75"/>
      <c r="F10" s="74">
        <f>E10+ноябрь!F8</f>
        <v>259869.53</v>
      </c>
      <c r="G10" s="74">
        <f t="shared" si="0"/>
        <v>0</v>
      </c>
      <c r="H10" s="76">
        <f t="shared" si="0"/>
        <v>-35776.599999999948</v>
      </c>
      <c r="I10" s="77"/>
      <c r="J10" s="76">
        <f>I10+ноябрь!J8</f>
        <v>0</v>
      </c>
      <c r="K10" s="78"/>
      <c r="L10" s="74">
        <f>ноябрь!L8</f>
        <v>0</v>
      </c>
    </row>
    <row r="11" spans="1:13" ht="14.1" customHeight="1">
      <c r="A11" s="1">
        <f t="shared" si="1"/>
        <v>7</v>
      </c>
      <c r="B11" s="39" t="str">
        <f>ноябрь!B9</f>
        <v>Холодная вода</v>
      </c>
      <c r="C11" s="73"/>
      <c r="D11" s="74">
        <f>C11+ноябрь!D9</f>
        <v>87710.75</v>
      </c>
      <c r="E11" s="75"/>
      <c r="F11" s="74">
        <f>E11+ноябрь!F9</f>
        <v>78574.100000000006</v>
      </c>
      <c r="G11" s="74">
        <f t="shared" si="0"/>
        <v>0</v>
      </c>
      <c r="H11" s="76">
        <f t="shared" si="0"/>
        <v>-9136.6499999999942</v>
      </c>
      <c r="I11" s="77"/>
      <c r="J11" s="76">
        <f>I11+ноябрь!J9</f>
        <v>0</v>
      </c>
      <c r="K11" s="78"/>
      <c r="L11" s="74">
        <f>ноябрь!L9</f>
        <v>0</v>
      </c>
    </row>
    <row r="12" spans="1:13" ht="14.1" customHeight="1">
      <c r="A12" s="1">
        <f t="shared" si="1"/>
        <v>8</v>
      </c>
      <c r="B12" s="39" t="str">
        <f>ноябрь!B10</f>
        <v>Канализирование х.воды</v>
      </c>
      <c r="C12" s="79"/>
      <c r="D12" s="74">
        <f>C12+ноябрь!D10</f>
        <v>0</v>
      </c>
      <c r="E12" s="79"/>
      <c r="F12" s="74">
        <f>E12+ноябрь!F10</f>
        <v>0.06</v>
      </c>
      <c r="G12" s="74">
        <f t="shared" si="0"/>
        <v>0</v>
      </c>
      <c r="H12" s="76">
        <f t="shared" si="0"/>
        <v>0.06</v>
      </c>
      <c r="I12" s="77"/>
      <c r="J12" s="76">
        <f>I12+ноябрь!J10</f>
        <v>0</v>
      </c>
      <c r="K12" s="78"/>
      <c r="L12" s="74">
        <f>ноябрь!L10</f>
        <v>0</v>
      </c>
    </row>
    <row r="13" spans="1:13" ht="14.1" customHeight="1">
      <c r="A13" s="1">
        <f t="shared" si="1"/>
        <v>9</v>
      </c>
      <c r="B13" s="39" t="str">
        <f>ноябрь!B11</f>
        <v>Канализирование г.воды</v>
      </c>
      <c r="C13" s="79"/>
      <c r="D13" s="74">
        <f>C13+ноябрь!D11</f>
        <v>0</v>
      </c>
      <c r="E13" s="79"/>
      <c r="F13" s="74">
        <f>E13+ноябрь!F11</f>
        <v>0.04</v>
      </c>
      <c r="G13" s="74">
        <f t="shared" si="0"/>
        <v>0</v>
      </c>
      <c r="H13" s="76">
        <f t="shared" si="0"/>
        <v>0.04</v>
      </c>
      <c r="I13" s="77"/>
      <c r="J13" s="76">
        <f>I13+ноябрь!J11</f>
        <v>0</v>
      </c>
      <c r="K13" s="78"/>
      <c r="L13" s="74">
        <f>ноябрь!L11</f>
        <v>0</v>
      </c>
    </row>
    <row r="14" spans="1:13" ht="14.1" customHeight="1">
      <c r="A14" s="1">
        <f t="shared" si="1"/>
        <v>10</v>
      </c>
      <c r="B14" s="39" t="str">
        <f>ноябрь!B12</f>
        <v>Тек.рем.общ.имущ.дома</v>
      </c>
      <c r="C14" s="73"/>
      <c r="D14" s="74">
        <f>C14+ноябрь!D12</f>
        <v>116861.57999999999</v>
      </c>
      <c r="E14" s="75"/>
      <c r="F14" s="74">
        <f>E14+ноябрь!F12</f>
        <v>105673.98</v>
      </c>
      <c r="G14" s="74">
        <f t="shared" si="0"/>
        <v>0</v>
      </c>
      <c r="H14" s="76">
        <f t="shared" si="0"/>
        <v>-11187.599999999991</v>
      </c>
      <c r="I14" s="77"/>
      <c r="J14" s="76">
        <f>I14+ноябрь!J12</f>
        <v>0</v>
      </c>
      <c r="K14" s="78"/>
      <c r="L14" s="74">
        <f>ноябрь!L12</f>
        <v>0</v>
      </c>
    </row>
    <row r="15" spans="1:13" ht="14.1" customHeight="1">
      <c r="A15" s="1">
        <f t="shared" si="1"/>
        <v>11</v>
      </c>
      <c r="B15" s="39" t="str">
        <f>ноябрь!B13</f>
        <v>Сод.и тек.рем.в/дом.газосн</v>
      </c>
      <c r="C15" s="73"/>
      <c r="D15" s="74">
        <f>C15+ноябрь!D13</f>
        <v>11792.689999999999</v>
      </c>
      <c r="E15" s="75"/>
      <c r="F15" s="74">
        <f>E15+ноябрь!F13</f>
        <v>10963.980000000001</v>
      </c>
      <c r="G15" s="74">
        <f t="shared" si="0"/>
        <v>0</v>
      </c>
      <c r="H15" s="76">
        <f t="shared" si="0"/>
        <v>-828.70999999999731</v>
      </c>
      <c r="I15" s="77"/>
      <c r="J15" s="76">
        <f>I15+ноябрь!J13</f>
        <v>0</v>
      </c>
      <c r="K15" s="78"/>
      <c r="L15" s="74">
        <f>ноябрь!L13</f>
        <v>0</v>
      </c>
    </row>
    <row r="16" spans="1:13" ht="14.1" customHeight="1">
      <c r="A16" s="1">
        <f t="shared" si="1"/>
        <v>12</v>
      </c>
      <c r="B16" s="39" t="str">
        <f>ноябрь!B14</f>
        <v>Управление многокв.домом</v>
      </c>
      <c r="C16" s="73"/>
      <c r="D16" s="74">
        <f>C16+ноябрь!D14</f>
        <v>52041.15</v>
      </c>
      <c r="E16" s="75"/>
      <c r="F16" s="74">
        <f>E16+ноябрь!F14</f>
        <v>46403.060000000005</v>
      </c>
      <c r="G16" s="74">
        <f t="shared" si="0"/>
        <v>0</v>
      </c>
      <c r="H16" s="76">
        <f t="shared" si="0"/>
        <v>-5638.0899999999965</v>
      </c>
      <c r="I16" s="77"/>
      <c r="J16" s="76">
        <f>I16+ноябрь!J14</f>
        <v>0</v>
      </c>
      <c r="K16" s="78"/>
      <c r="L16" s="74">
        <f>ноябрь!L14</f>
        <v>0</v>
      </c>
    </row>
    <row r="17" spans="1:12" ht="14.1" customHeight="1">
      <c r="A17" s="1">
        <f t="shared" si="1"/>
        <v>13</v>
      </c>
      <c r="B17" s="39" t="str">
        <f>ноябрь!B15</f>
        <v>Водоотведение(кв)</v>
      </c>
      <c r="C17" s="73"/>
      <c r="D17" s="74">
        <f>C17+ноябрь!D15</f>
        <v>156737.19</v>
      </c>
      <c r="E17" s="75"/>
      <c r="F17" s="74">
        <f>E17+ноябрь!F15</f>
        <v>140774.53000000003</v>
      </c>
      <c r="G17" s="74">
        <f t="shared" si="0"/>
        <v>0</v>
      </c>
      <c r="H17" s="76">
        <f t="shared" si="0"/>
        <v>-15962.659999999974</v>
      </c>
      <c r="I17" s="77"/>
      <c r="J17" s="76">
        <f>I17+ноябрь!J15</f>
        <v>0</v>
      </c>
      <c r="K17" s="78"/>
      <c r="L17" s="74">
        <f>ноябрь!L15</f>
        <v>0</v>
      </c>
    </row>
    <row r="18" spans="1:12" ht="14.1" customHeight="1">
      <c r="A18" s="1">
        <f t="shared" si="1"/>
        <v>14</v>
      </c>
      <c r="B18" s="39" t="str">
        <f>ноябрь!B16</f>
        <v>Эксплуатация общед.ПУ</v>
      </c>
      <c r="C18" s="73"/>
      <c r="D18" s="74">
        <f>C18+ноябрь!D16</f>
        <v>12420.76</v>
      </c>
      <c r="E18" s="75"/>
      <c r="F18" s="74">
        <f>E18+ноябрь!F16</f>
        <v>11215.910000000002</v>
      </c>
      <c r="G18" s="74">
        <f t="shared" si="0"/>
        <v>0</v>
      </c>
      <c r="H18" s="76">
        <f t="shared" si="0"/>
        <v>-1204.8499999999985</v>
      </c>
      <c r="I18" s="77"/>
      <c r="J18" s="76">
        <f>I18+ноябрь!J16</f>
        <v>0</v>
      </c>
      <c r="K18" s="78"/>
      <c r="L18" s="74">
        <f>ноябрь!L16</f>
        <v>0</v>
      </c>
    </row>
    <row r="19" spans="1:12" ht="14.1" customHeight="1">
      <c r="A19" s="1">
        <f t="shared" si="1"/>
        <v>15</v>
      </c>
      <c r="B19" s="39" t="str">
        <f>ноябрь!B17</f>
        <v>Хол. водоснаб(о/д нужды)</v>
      </c>
      <c r="C19" s="73"/>
      <c r="D19" s="74">
        <f>C19+ноябрь!D17</f>
        <v>5852.3799999999992</v>
      </c>
      <c r="E19" s="75"/>
      <c r="F19" s="74">
        <f>E19+ноябрь!F17</f>
        <v>5310.5</v>
      </c>
      <c r="G19" s="74">
        <f t="shared" si="0"/>
        <v>0</v>
      </c>
      <c r="H19" s="76">
        <f t="shared" si="0"/>
        <v>-541.8799999999992</v>
      </c>
      <c r="I19" s="77"/>
      <c r="J19" s="76">
        <f>I19+ноябрь!J17</f>
        <v>0</v>
      </c>
      <c r="K19" s="78"/>
      <c r="L19" s="74">
        <f>ноябрь!L17</f>
        <v>0</v>
      </c>
    </row>
    <row r="20" spans="1:12" ht="14.1" customHeight="1">
      <c r="A20" s="1">
        <f t="shared" si="1"/>
        <v>16</v>
      </c>
      <c r="B20" s="39" t="str">
        <f>ноябрь!B18</f>
        <v>Водоотведение(о/д нужды)</v>
      </c>
      <c r="C20" s="79"/>
      <c r="D20" s="74">
        <f>C20+ноябрь!D18</f>
        <v>0</v>
      </c>
      <c r="E20" s="79"/>
      <c r="F20" s="74">
        <f>E20+ноябрь!F18</f>
        <v>0</v>
      </c>
      <c r="G20" s="74">
        <f t="shared" si="0"/>
        <v>0</v>
      </c>
      <c r="H20" s="76">
        <f t="shared" si="0"/>
        <v>0</v>
      </c>
      <c r="I20" s="77"/>
      <c r="J20" s="76">
        <f>I20+ноябрь!J18</f>
        <v>0</v>
      </c>
      <c r="K20" s="78"/>
      <c r="L20" s="74">
        <f>ноябрь!L18</f>
        <v>0</v>
      </c>
    </row>
    <row r="21" spans="1:12" ht="14.1" customHeight="1">
      <c r="A21" s="1">
        <f t="shared" si="1"/>
        <v>17</v>
      </c>
      <c r="B21" s="39" t="str">
        <f>ноябрь!B19</f>
        <v>Отопление(о/д нужды)</v>
      </c>
      <c r="C21" s="79"/>
      <c r="D21" s="74">
        <f>C21+ноябрь!D19</f>
        <v>0</v>
      </c>
      <c r="E21" s="75"/>
      <c r="F21" s="74">
        <f>E21+ноябрь!F19</f>
        <v>0</v>
      </c>
      <c r="G21" s="74">
        <f t="shared" si="0"/>
        <v>0</v>
      </c>
      <c r="H21" s="76">
        <f t="shared" si="0"/>
        <v>0</v>
      </c>
      <c r="I21" s="77"/>
      <c r="J21" s="76">
        <f>I21+ноябрь!J19</f>
        <v>0</v>
      </c>
      <c r="K21" s="78"/>
      <c r="L21" s="74">
        <f>ноябрь!L19</f>
        <v>0</v>
      </c>
    </row>
    <row r="22" spans="1:12" ht="14.1" customHeight="1">
      <c r="A22" s="1">
        <f t="shared" si="1"/>
        <v>18</v>
      </c>
      <c r="B22" s="39" t="str">
        <f>ноябрь!B20</f>
        <v>Электроснабжение(общед.нужды)</v>
      </c>
      <c r="C22" s="73"/>
      <c r="D22" s="74">
        <f>C22+ноябрь!D20</f>
        <v>97999.039999999979</v>
      </c>
      <c r="E22" s="75"/>
      <c r="F22" s="74">
        <f>E22+ноябрь!F20</f>
        <v>94517.049999999988</v>
      </c>
      <c r="G22" s="74">
        <f t="shared" si="0"/>
        <v>0</v>
      </c>
      <c r="H22" s="76">
        <f t="shared" si="0"/>
        <v>-3481.9899999999907</v>
      </c>
      <c r="I22" s="77"/>
      <c r="J22" s="76">
        <f>I22+ноябрь!J20</f>
        <v>0</v>
      </c>
      <c r="K22" s="78"/>
      <c r="L22" s="74">
        <f>ноябрь!L20</f>
        <v>0</v>
      </c>
    </row>
    <row r="23" spans="1:12" ht="14.1" customHeight="1">
      <c r="A23" s="1">
        <v>19</v>
      </c>
      <c r="B23" s="39" t="str">
        <f>ноябрь!B21</f>
        <v>Капитальный ремонт</v>
      </c>
      <c r="C23" s="79"/>
      <c r="D23" s="74">
        <f>C23+ноябрь!D21</f>
        <v>0</v>
      </c>
      <c r="E23" s="79"/>
      <c r="F23" s="74">
        <f>E23+ноябрь!F21</f>
        <v>0</v>
      </c>
      <c r="G23" s="74">
        <f t="shared" si="0"/>
        <v>0</v>
      </c>
      <c r="H23" s="76">
        <f t="shared" si="0"/>
        <v>0</v>
      </c>
      <c r="I23" s="77"/>
      <c r="J23" s="76">
        <f>I23+ноябрь!J21</f>
        <v>0</v>
      </c>
      <c r="K23" s="78"/>
      <c r="L23" s="74">
        <f>ноябрь!L21</f>
        <v>0</v>
      </c>
    </row>
    <row r="24" spans="1:12" ht="14.1" customHeight="1">
      <c r="A24" s="1">
        <v>20</v>
      </c>
      <c r="B24" s="39" t="str">
        <f>ноябрь!B22</f>
        <v>Гор. Водоснабж. (о/д нужды)</v>
      </c>
      <c r="C24" s="73"/>
      <c r="D24" s="74">
        <f>C24+ноябрь!D22</f>
        <v>18457.620000000003</v>
      </c>
      <c r="E24" s="75"/>
      <c r="F24" s="74">
        <f>E24+ноябрь!F22</f>
        <v>17872.319999999996</v>
      </c>
      <c r="G24" s="74">
        <f t="shared" si="0"/>
        <v>0</v>
      </c>
      <c r="H24" s="76">
        <f t="shared" si="0"/>
        <v>-585.30000000000655</v>
      </c>
      <c r="I24" s="77"/>
      <c r="J24" s="76">
        <f>I24+ноябрь!J22</f>
        <v>0</v>
      </c>
      <c r="K24" s="78"/>
      <c r="L24" s="74">
        <f>ноябрь!L22</f>
        <v>0</v>
      </c>
    </row>
    <row r="25" spans="1:12" ht="14.1" customHeight="1">
      <c r="A25" s="17"/>
      <c r="B25" s="18" t="s">
        <v>12</v>
      </c>
      <c r="C25" s="80">
        <f t="shared" ref="C25:L25" si="2">SUM(C5:C24)</f>
        <v>0</v>
      </c>
      <c r="D25" s="74">
        <f t="shared" si="2"/>
        <v>1752205.45</v>
      </c>
      <c r="E25" s="81">
        <f t="shared" si="2"/>
        <v>0</v>
      </c>
      <c r="F25" s="74">
        <f t="shared" si="2"/>
        <v>1616225.7300000002</v>
      </c>
      <c r="G25" s="74">
        <f t="shared" si="2"/>
        <v>0</v>
      </c>
      <c r="H25" s="76">
        <f t="shared" si="2"/>
        <v>-135979.72</v>
      </c>
      <c r="I25" s="76">
        <f t="shared" si="2"/>
        <v>0</v>
      </c>
      <c r="J25" s="76">
        <f t="shared" si="2"/>
        <v>0</v>
      </c>
      <c r="K25" s="74">
        <f t="shared" si="2"/>
        <v>0</v>
      </c>
      <c r="L25" s="74">
        <f t="shared" si="2"/>
        <v>0</v>
      </c>
    </row>
    <row r="26" spans="1:12" ht="14.1" customHeight="1">
      <c r="A26" s="66"/>
      <c r="B26" s="67"/>
      <c r="C26" s="82"/>
      <c r="D26" s="83"/>
      <c r="E26" s="84"/>
      <c r="F26" s="83"/>
      <c r="G26" s="83"/>
      <c r="H26" s="85"/>
      <c r="I26" s="85"/>
      <c r="J26" s="85"/>
      <c r="K26" s="83"/>
      <c r="L26" s="83"/>
    </row>
    <row r="27" spans="1:12" ht="14.1" customHeight="1">
      <c r="A27" s="66"/>
      <c r="B27" s="67"/>
      <c r="C27" s="82"/>
      <c r="D27" s="83"/>
      <c r="E27" s="84"/>
      <c r="F27" s="83"/>
      <c r="G27" s="83"/>
      <c r="H27" s="85"/>
      <c r="I27" s="85"/>
      <c r="J27" s="85"/>
      <c r="K27" s="83"/>
      <c r="L27" s="83"/>
    </row>
    <row r="28" spans="1:12"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>
      <c r="B30" s="40" t="s">
        <v>35</v>
      </c>
      <c r="C30" s="77">
        <f t="shared" ref="C30:H30" si="3">C5+C9+C14+C15+C16+C18</f>
        <v>0</v>
      </c>
      <c r="D30" s="77">
        <f t="shared" si="3"/>
        <v>453475.56</v>
      </c>
      <c r="E30" s="77">
        <f t="shared" si="3"/>
        <v>0</v>
      </c>
      <c r="F30" s="77">
        <f t="shared" si="3"/>
        <v>408632.19999999995</v>
      </c>
      <c r="G30" s="77">
        <f t="shared" si="3"/>
        <v>0</v>
      </c>
      <c r="H30" s="77">
        <f t="shared" si="3"/>
        <v>-44843.35999999995</v>
      </c>
      <c r="I30" s="86"/>
      <c r="J30" s="86"/>
      <c r="K30" s="86"/>
      <c r="L30" s="86"/>
    </row>
    <row r="31" spans="1:12">
      <c r="B31" s="41" t="s">
        <v>37</v>
      </c>
      <c r="C31" s="87">
        <f>C11+C12+C13+C17+C19+C20</f>
        <v>0</v>
      </c>
      <c r="D31" s="87">
        <f>D11+D12+D13+D17+D19+D20</f>
        <v>250300.32</v>
      </c>
      <c r="E31" s="87">
        <f t="shared" ref="E31:J31" si="4">E11+E12+E13+E17+E19+E20</f>
        <v>0</v>
      </c>
      <c r="F31" s="87">
        <f t="shared" si="4"/>
        <v>224659.23000000004</v>
      </c>
      <c r="G31" s="87">
        <f t="shared" si="4"/>
        <v>0</v>
      </c>
      <c r="H31" s="87">
        <f t="shared" si="4"/>
        <v>-25641.089999999967</v>
      </c>
      <c r="I31" s="87">
        <f t="shared" si="4"/>
        <v>0</v>
      </c>
      <c r="J31" s="87">
        <f t="shared" si="4"/>
        <v>0</v>
      </c>
      <c r="K31" s="86"/>
      <c r="L31" s="86"/>
    </row>
    <row r="32" spans="1:12">
      <c r="B32" s="41" t="s">
        <v>38</v>
      </c>
      <c r="C32" s="87">
        <f>C10+C22</f>
        <v>0</v>
      </c>
      <c r="D32" s="87">
        <f>D10+D22</f>
        <v>393645.16999999993</v>
      </c>
      <c r="E32" s="87">
        <f t="shared" ref="E32:J32" si="5">E10+E22</f>
        <v>0</v>
      </c>
      <c r="F32" s="87">
        <f t="shared" si="5"/>
        <v>354386.57999999996</v>
      </c>
      <c r="G32" s="87">
        <f t="shared" si="5"/>
        <v>0</v>
      </c>
      <c r="H32" s="87">
        <f t="shared" si="5"/>
        <v>-39258.589999999938</v>
      </c>
      <c r="I32" s="87">
        <f t="shared" si="5"/>
        <v>0</v>
      </c>
      <c r="J32" s="87">
        <f t="shared" si="5"/>
        <v>0</v>
      </c>
      <c r="K32" s="86"/>
      <c r="L32" s="86"/>
    </row>
    <row r="33" spans="2:12">
      <c r="B33" s="41" t="s">
        <v>39</v>
      </c>
      <c r="C33" s="87">
        <f>C6+C7+C21+C24</f>
        <v>0</v>
      </c>
      <c r="D33" s="87">
        <f t="shared" ref="D33:J33" si="6">D6+D7+D21+D24</f>
        <v>651568.14000000013</v>
      </c>
      <c r="E33" s="87">
        <f t="shared" si="6"/>
        <v>0</v>
      </c>
      <c r="F33" s="87">
        <f t="shared" si="6"/>
        <v>625838.53999999992</v>
      </c>
      <c r="G33" s="87">
        <f t="shared" si="6"/>
        <v>0</v>
      </c>
      <c r="H33" s="87">
        <f t="shared" si="6"/>
        <v>-25729.600000000111</v>
      </c>
      <c r="I33" s="87">
        <f t="shared" si="6"/>
        <v>0</v>
      </c>
      <c r="J33" s="87">
        <f t="shared" si="6"/>
        <v>0</v>
      </c>
      <c r="K33" s="86"/>
      <c r="L33" s="86"/>
    </row>
    <row r="34" spans="2:12"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C36" s="88"/>
      <c r="D36" s="88"/>
      <c r="E36" s="88"/>
      <c r="F36" s="86"/>
      <c r="G36" s="86"/>
      <c r="H36" s="86"/>
      <c r="I36" s="86"/>
      <c r="J36" s="86"/>
      <c r="K36" s="86"/>
      <c r="L36" s="86"/>
    </row>
    <row r="37" spans="2:12">
      <c r="C37" s="64"/>
      <c r="D37" s="64"/>
      <c r="E37" s="64"/>
    </row>
    <row r="38" spans="2:12">
      <c r="C38" s="65"/>
      <c r="D38" s="65"/>
      <c r="E38" s="65"/>
    </row>
    <row r="39" spans="2:12">
      <c r="C39" s="64"/>
      <c r="D39" s="64"/>
      <c r="E39" s="64"/>
    </row>
    <row r="40" spans="2:12">
      <c r="C40" s="64"/>
      <c r="D40" s="64"/>
      <c r="E40" s="64"/>
    </row>
    <row r="41" spans="2:12">
      <c r="C41" s="64"/>
      <c r="D41" s="64"/>
      <c r="E41" s="64"/>
    </row>
    <row r="42" spans="2:12">
      <c r="C42" s="64"/>
      <c r="D42" s="64"/>
      <c r="E42" s="64"/>
    </row>
  </sheetData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G30" sqref="G30"/>
    </sheetView>
  </sheetViews>
  <sheetFormatPr defaultRowHeight="12.75"/>
  <cols>
    <col min="1" max="1" width="4.140625" customWidth="1"/>
    <col min="2" max="2" width="21" customWidth="1"/>
    <col min="4" max="4" width="13.28515625" customWidth="1"/>
    <col min="6" max="6" width="14.85546875" customWidth="1"/>
    <col min="8" max="8" width="17.85546875" customWidth="1"/>
    <col min="10" max="10" width="15.7109375" customWidth="1"/>
    <col min="12" max="12" width="15.85546875" customWidth="1"/>
  </cols>
  <sheetData>
    <row r="3" spans="1:12">
      <c r="A3" s="1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5" t="s">
        <v>10</v>
      </c>
      <c r="L3" s="5" t="s">
        <v>11</v>
      </c>
    </row>
    <row r="4" spans="1:12">
      <c r="A4" s="1">
        <v>1</v>
      </c>
      <c r="B4" s="7" t="s">
        <v>14</v>
      </c>
      <c r="C4" s="3"/>
      <c r="D4" s="3" t="e">
        <f>#REF!+Январь!C4</f>
        <v>#REF!</v>
      </c>
      <c r="E4" s="2">
        <f>25078.04+5600.74</f>
        <v>30678.78</v>
      </c>
      <c r="F4" s="3" t="e">
        <f>#REF!+Январь!E4</f>
        <v>#REF!</v>
      </c>
      <c r="G4" s="3"/>
      <c r="H4" s="2" t="e">
        <f>F4-D4</f>
        <v>#REF!</v>
      </c>
      <c r="I4" s="2"/>
      <c r="J4" s="2" t="e">
        <f>#REF!+Январь!I4</f>
        <v>#REF!</v>
      </c>
      <c r="K4" s="3"/>
      <c r="L4" s="3" t="e">
        <f>K4+#REF!</f>
        <v>#REF!</v>
      </c>
    </row>
    <row r="5" spans="1:12">
      <c r="A5" s="1">
        <f>A4+1</f>
        <v>2</v>
      </c>
      <c r="B5" s="7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>
      <c r="A6" s="1">
        <f t="shared" ref="A6:A23" si="0">A5+1</f>
        <v>3</v>
      </c>
      <c r="B6" s="7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>
      <c r="A7" s="1">
        <f t="shared" si="0"/>
        <v>4</v>
      </c>
      <c r="B7" s="7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>
      <c r="A8" s="1">
        <f t="shared" si="0"/>
        <v>5</v>
      </c>
      <c r="B8" s="7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>
      <c r="A9" s="1">
        <f t="shared" si="0"/>
        <v>6</v>
      </c>
      <c r="B9" s="7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>
      <c r="A10" s="1">
        <f t="shared" si="0"/>
        <v>7</v>
      </c>
      <c r="B10" s="7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>
      <c r="A11" s="1">
        <f t="shared" si="0"/>
        <v>8</v>
      </c>
      <c r="B11" s="7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>
      <c r="A12" s="1">
        <f t="shared" si="0"/>
        <v>9</v>
      </c>
      <c r="B12" s="7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>
      <c r="A13" s="1">
        <f t="shared" si="0"/>
        <v>10</v>
      </c>
      <c r="B13" s="7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>
      <c r="A14" s="1">
        <f t="shared" si="0"/>
        <v>11</v>
      </c>
      <c r="B14" s="7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>
      <c r="A15" s="1">
        <f t="shared" si="0"/>
        <v>12</v>
      </c>
      <c r="B15" s="7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>
      <c r="A16" s="1">
        <f t="shared" si="0"/>
        <v>13</v>
      </c>
      <c r="B16" s="7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>
      <c r="A17" s="1">
        <f t="shared" si="0"/>
        <v>14</v>
      </c>
      <c r="B17" s="7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>
      <c r="A18" s="1">
        <f t="shared" si="0"/>
        <v>15</v>
      </c>
      <c r="B18" s="7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>
      <c r="A19" s="1">
        <f t="shared" si="0"/>
        <v>16</v>
      </c>
      <c r="B19" s="7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>
      <c r="A20" s="1">
        <f t="shared" si="0"/>
        <v>17</v>
      </c>
      <c r="B20" s="7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>
      <c r="A21" s="1">
        <f t="shared" si="0"/>
        <v>18</v>
      </c>
      <c r="B21" s="7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>
      <c r="A22" s="1">
        <f t="shared" si="0"/>
        <v>19</v>
      </c>
      <c r="B22" s="7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>
      <c r="A23" s="1">
        <f t="shared" si="0"/>
        <v>20</v>
      </c>
      <c r="B23" s="7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>
      <c r="A24" s="1"/>
      <c r="B24" s="7" t="s">
        <v>12</v>
      </c>
      <c r="C24" s="3">
        <f t="shared" ref="C24:L24" si="1">SUM(C4:C23)</f>
        <v>0</v>
      </c>
      <c r="D24" s="3" t="e">
        <f t="shared" si="1"/>
        <v>#REF!</v>
      </c>
      <c r="E24" s="2">
        <f t="shared" si="1"/>
        <v>30678.78</v>
      </c>
      <c r="F24" s="3" t="e">
        <f t="shared" si="1"/>
        <v>#REF!</v>
      </c>
      <c r="G24" s="3">
        <f t="shared" si="1"/>
        <v>0</v>
      </c>
      <c r="H24" s="2" t="e">
        <f t="shared" si="1"/>
        <v>#REF!</v>
      </c>
      <c r="I24" s="2">
        <f t="shared" si="1"/>
        <v>0</v>
      </c>
      <c r="J24" s="2" t="e">
        <f t="shared" si="1"/>
        <v>#REF!</v>
      </c>
      <c r="K24" s="3">
        <f t="shared" si="1"/>
        <v>0</v>
      </c>
      <c r="L24" s="3" t="e">
        <f t="shared" si="1"/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opLeftCell="B1" workbookViewId="0">
      <selection activeCell="B1" sqref="B1"/>
    </sheetView>
  </sheetViews>
  <sheetFormatPr defaultRowHeight="12.75"/>
  <cols>
    <col min="1" max="1" width="5.7109375" customWidth="1"/>
    <col min="2" max="2" width="30" customWidth="1"/>
    <col min="3" max="3" width="11.42578125" customWidth="1"/>
    <col min="4" max="4" width="10" customWidth="1"/>
    <col min="5" max="5" width="10.85546875" customWidth="1"/>
    <col min="6" max="6" width="12" customWidth="1"/>
    <col min="7" max="7" width="9.7109375" bestFit="1" customWidth="1"/>
    <col min="8" max="8" width="12.28515625" customWidth="1"/>
    <col min="9" max="9" width="10.28515625" customWidth="1"/>
    <col min="10" max="10" width="11.28515625" customWidth="1"/>
    <col min="11" max="11" width="10.140625" bestFit="1" customWidth="1"/>
    <col min="12" max="12" width="10.42578125" customWidth="1"/>
    <col min="13" max="13" width="11.140625" customWidth="1"/>
  </cols>
  <sheetData>
    <row r="1" spans="1:13" ht="28.5" customHeight="1">
      <c r="B1" s="11" t="s">
        <v>20</v>
      </c>
      <c r="C1" s="68" t="s">
        <v>45</v>
      </c>
    </row>
    <row r="2" spans="1:13" s="29" customFormat="1" ht="38.25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>
      <c r="A3" s="1">
        <v>1</v>
      </c>
      <c r="B3" s="39" t="str">
        <f>Январь!B3</f>
        <v>Содержание общ.имущ.дома</v>
      </c>
      <c r="C3" s="8">
        <f>16264.19+4093.72</f>
        <v>20357.91</v>
      </c>
      <c r="D3" s="19">
        <f>C3+Январь!D3</f>
        <v>40715.82</v>
      </c>
      <c r="E3" s="9">
        <f>15500.26+4818.84</f>
        <v>20319.099999999999</v>
      </c>
      <c r="F3" s="19">
        <f>E3+Январь!F3</f>
        <v>32369.559999999998</v>
      </c>
      <c r="G3" s="19">
        <f>E3-C3</f>
        <v>-38.81000000000131</v>
      </c>
      <c r="H3" s="20">
        <f>F3-D3</f>
        <v>-8346.260000000002</v>
      </c>
      <c r="I3" s="9"/>
      <c r="J3" s="20">
        <f>I3+Январь!J3</f>
        <v>0</v>
      </c>
      <c r="K3" s="8"/>
      <c r="L3" s="19">
        <f>K3+Январь!L3</f>
        <v>0</v>
      </c>
    </row>
    <row r="4" spans="1:13">
      <c r="A4" s="1">
        <f>A3+1</f>
        <v>2</v>
      </c>
      <c r="B4" s="39" t="str">
        <f>Январь!B4</f>
        <v>Отопление</v>
      </c>
      <c r="C4" s="8">
        <f>63883.41+13924.73</f>
        <v>77808.14</v>
      </c>
      <c r="D4" s="19">
        <f>C4+Январь!D4</f>
        <v>143740.31</v>
      </c>
      <c r="E4" s="9">
        <f>48981.68+14315.81</f>
        <v>63297.49</v>
      </c>
      <c r="F4" s="19">
        <f>E4+Январь!F4</f>
        <v>96509.2</v>
      </c>
      <c r="G4" s="19">
        <f t="shared" ref="G4:H22" si="0">E4-C4</f>
        <v>-14510.650000000001</v>
      </c>
      <c r="H4" s="20">
        <f t="shared" si="0"/>
        <v>-47231.11</v>
      </c>
      <c r="I4" s="9"/>
      <c r="J4" s="20">
        <f>I4+Январь!J4</f>
        <v>0</v>
      </c>
      <c r="K4" s="8"/>
      <c r="L4" s="19">
        <f>K4+Январь!L4</f>
        <v>0</v>
      </c>
      <c r="M4" s="12">
        <f>L4-J4</f>
        <v>0</v>
      </c>
    </row>
    <row r="5" spans="1:13">
      <c r="A5" s="1">
        <f t="shared" ref="A5:A22" si="1">A4+1</f>
        <v>3</v>
      </c>
      <c r="B5" s="39" t="str">
        <f>Январь!B5</f>
        <v>Горячее водоснабжение</v>
      </c>
      <c r="C5" s="8">
        <f>14923.66+5661.48</f>
        <v>20585.14</v>
      </c>
      <c r="D5" s="19">
        <f>C5+Январь!D5</f>
        <v>37216.11</v>
      </c>
      <c r="E5" s="9">
        <f>11717.91+4039.14</f>
        <v>15757.05</v>
      </c>
      <c r="F5" s="19">
        <f>E5+Январь!F5</f>
        <v>27849.58</v>
      </c>
      <c r="G5" s="19">
        <f t="shared" si="0"/>
        <v>-4828.09</v>
      </c>
      <c r="H5" s="20">
        <f t="shared" si="0"/>
        <v>-9366.5299999999988</v>
      </c>
      <c r="I5" s="9"/>
      <c r="J5" s="20">
        <f>I5+Январь!J5</f>
        <v>0</v>
      </c>
      <c r="K5" s="8"/>
      <c r="L5" s="19">
        <f>K5+Январь!L5</f>
        <v>0</v>
      </c>
    </row>
    <row r="6" spans="1:13">
      <c r="A6" s="1">
        <f t="shared" si="1"/>
        <v>4</v>
      </c>
      <c r="B6" s="39" t="str">
        <f>Январь!B6</f>
        <v>Газ</v>
      </c>
      <c r="C6" s="8">
        <f>0</f>
        <v>0</v>
      </c>
      <c r="D6" s="19">
        <f>C6+Январь!D6</f>
        <v>0</v>
      </c>
      <c r="E6" s="9">
        <v>0</v>
      </c>
      <c r="F6" s="19">
        <f>E6+Январь!F6</f>
        <v>0</v>
      </c>
      <c r="G6" s="19">
        <f t="shared" si="0"/>
        <v>0</v>
      </c>
      <c r="H6" s="20">
        <f t="shared" si="0"/>
        <v>0</v>
      </c>
      <c r="I6" s="9"/>
      <c r="J6" s="20">
        <f>I6+Январь!J6</f>
        <v>0</v>
      </c>
      <c r="K6" s="8"/>
      <c r="L6" s="19">
        <f>K6+Январь!L6</f>
        <v>0</v>
      </c>
    </row>
    <row r="7" spans="1:13">
      <c r="A7" s="1">
        <f t="shared" si="1"/>
        <v>5</v>
      </c>
      <c r="B7" s="39" t="str">
        <f>Январь!B7</f>
        <v>Уборка и сан.очистка зем.уч.</v>
      </c>
      <c r="C7" s="8">
        <f>629.55+2501.15</f>
        <v>3130.7</v>
      </c>
      <c r="D7" s="19">
        <f>C7+Январь!D7</f>
        <v>6261.4</v>
      </c>
      <c r="E7" s="9">
        <f>741+2383.64</f>
        <v>3124.64</v>
      </c>
      <c r="F7" s="19">
        <f>E7+Январь!F7</f>
        <v>4977.79</v>
      </c>
      <c r="G7" s="19">
        <f t="shared" si="0"/>
        <v>-6.0599999999999454</v>
      </c>
      <c r="H7" s="20">
        <f t="shared" si="0"/>
        <v>-1283.6099999999997</v>
      </c>
      <c r="I7" s="9"/>
      <c r="J7" s="20">
        <f>I7+Январь!J7</f>
        <v>0</v>
      </c>
      <c r="K7" s="8"/>
      <c r="L7" s="19">
        <f>K7+Январь!L7</f>
        <v>0</v>
      </c>
    </row>
    <row r="8" spans="1:13">
      <c r="A8" s="1">
        <f t="shared" si="1"/>
        <v>6</v>
      </c>
      <c r="B8" s="39" t="str">
        <f>Январь!B8</f>
        <v>Электроснабжение(инд.потр)</v>
      </c>
      <c r="C8" s="8">
        <f>4681.8+21076.2</f>
        <v>25758</v>
      </c>
      <c r="D8" s="19">
        <f>C8+Январь!D8</f>
        <v>52250.400000000001</v>
      </c>
      <c r="E8" s="9">
        <f>6346.35+20103.24</f>
        <v>26449.590000000004</v>
      </c>
      <c r="F8" s="19">
        <f>E8+Январь!F8</f>
        <v>41035.370000000003</v>
      </c>
      <c r="G8" s="19">
        <f t="shared" si="0"/>
        <v>691.59000000000378</v>
      </c>
      <c r="H8" s="20">
        <f t="shared" si="0"/>
        <v>-11215.029999999999</v>
      </c>
      <c r="I8" s="9"/>
      <c r="J8" s="20">
        <f>I8+Январь!J8</f>
        <v>0</v>
      </c>
      <c r="K8" s="8"/>
      <c r="L8" s="19">
        <f>K8+Январь!L8</f>
        <v>0</v>
      </c>
    </row>
    <row r="9" spans="1:13">
      <c r="A9" s="1">
        <f t="shared" si="1"/>
        <v>7</v>
      </c>
      <c r="B9" s="39" t="str">
        <f>Январь!B9</f>
        <v>Холодная вода</v>
      </c>
      <c r="C9" s="8">
        <f>2574.25+6559.16</f>
        <v>9133.41</v>
      </c>
      <c r="D9" s="19">
        <f>C9+Январь!D9</f>
        <v>15773.24</v>
      </c>
      <c r="E9" s="9">
        <f>1672.2+4945.21</f>
        <v>6617.41</v>
      </c>
      <c r="F9" s="19">
        <f>E9+Январь!F9</f>
        <v>10599.279999999999</v>
      </c>
      <c r="G9" s="19">
        <f t="shared" si="0"/>
        <v>-2516</v>
      </c>
      <c r="H9" s="20">
        <f t="shared" si="0"/>
        <v>-5173.9600000000009</v>
      </c>
      <c r="I9" s="9"/>
      <c r="J9" s="20">
        <f>I9+Январь!J9</f>
        <v>0</v>
      </c>
      <c r="K9" s="8"/>
      <c r="L9" s="19">
        <f>K9+Январь!L9</f>
        <v>0</v>
      </c>
      <c r="M9" s="12"/>
    </row>
    <row r="10" spans="1:13">
      <c r="A10" s="1">
        <f t="shared" si="1"/>
        <v>8</v>
      </c>
      <c r="B10" s="39" t="str">
        <f>Январь!B10</f>
        <v>Канализирование х.воды</v>
      </c>
      <c r="C10" s="8">
        <v>0</v>
      </c>
      <c r="D10" s="19">
        <f>C10+Январь!D10</f>
        <v>0</v>
      </c>
      <c r="E10" s="9">
        <v>0</v>
      </c>
      <c r="F10" s="19">
        <f>E10+Январь!F10</f>
        <v>0</v>
      </c>
      <c r="G10" s="19">
        <f t="shared" si="0"/>
        <v>0</v>
      </c>
      <c r="H10" s="20">
        <f t="shared" si="0"/>
        <v>0</v>
      </c>
      <c r="I10" s="9"/>
      <c r="J10" s="20">
        <f>I10+Январь!J10</f>
        <v>0</v>
      </c>
      <c r="K10" s="8"/>
      <c r="L10" s="19">
        <f>K10+Январь!L10</f>
        <v>0</v>
      </c>
    </row>
    <row r="11" spans="1:13">
      <c r="A11" s="1">
        <f t="shared" si="1"/>
        <v>9</v>
      </c>
      <c r="B11" s="39" t="str">
        <f>Январь!B11</f>
        <v>Канализирование г.воды</v>
      </c>
      <c r="C11" s="8">
        <v>0</v>
      </c>
      <c r="D11" s="19">
        <f>C11+Январь!D11</f>
        <v>0</v>
      </c>
      <c r="E11" s="9">
        <v>0</v>
      </c>
      <c r="F11" s="19">
        <f>E11+Январь!F11</f>
        <v>0</v>
      </c>
      <c r="G11" s="19">
        <f t="shared" si="0"/>
        <v>0</v>
      </c>
      <c r="H11" s="20">
        <f t="shared" si="0"/>
        <v>0</v>
      </c>
      <c r="I11" s="9"/>
      <c r="J11" s="20">
        <f>I11+Январь!J11</f>
        <v>0</v>
      </c>
      <c r="K11" s="8"/>
      <c r="L11" s="19">
        <f>K11+Январь!L11</f>
        <v>0</v>
      </c>
    </row>
    <row r="12" spans="1:13">
      <c r="A12" s="1">
        <f t="shared" si="1"/>
        <v>10</v>
      </c>
      <c r="B12" s="39" t="str">
        <f>Январь!B12</f>
        <v>Тек.рем.общ.имущ.дома</v>
      </c>
      <c r="C12" s="8">
        <f>2136.29+8487.49</f>
        <v>10623.779999999999</v>
      </c>
      <c r="D12" s="19">
        <f>C12+Январь!D12</f>
        <v>21247.559999999998</v>
      </c>
      <c r="E12" s="9">
        <f>2514.71+8089.69</f>
        <v>10604.4</v>
      </c>
      <c r="F12" s="19">
        <f>E12+Январь!F12</f>
        <v>16892.919999999998</v>
      </c>
      <c r="G12" s="19">
        <f t="shared" si="0"/>
        <v>-19.3799999999992</v>
      </c>
      <c r="H12" s="20">
        <f t="shared" si="0"/>
        <v>-4354.6399999999994</v>
      </c>
      <c r="I12" s="9"/>
      <c r="J12" s="20">
        <f>I12+Январь!J12</f>
        <v>0</v>
      </c>
      <c r="K12" s="8"/>
      <c r="L12" s="19">
        <f>K12+Январь!L12</f>
        <v>0</v>
      </c>
    </row>
    <row r="13" spans="1:13">
      <c r="A13" s="1">
        <f t="shared" si="1"/>
        <v>11</v>
      </c>
      <c r="B13" s="39" t="str">
        <f>Январь!B13</f>
        <v>Сод.и тек.рем.в/дом.газосн</v>
      </c>
      <c r="C13" s="8">
        <f>222.88+913.93</f>
        <v>1136.81</v>
      </c>
      <c r="D13" s="19">
        <f>C13+Январь!D13</f>
        <v>2273.62</v>
      </c>
      <c r="E13" s="9">
        <f>264.08+846.65</f>
        <v>1110.73</v>
      </c>
      <c r="F13" s="19">
        <f>E13+Январь!F13</f>
        <v>1788.73</v>
      </c>
      <c r="G13" s="19">
        <f t="shared" si="0"/>
        <v>-26.079999999999927</v>
      </c>
      <c r="H13" s="20">
        <f t="shared" si="0"/>
        <v>-484.88999999999987</v>
      </c>
      <c r="I13" s="9"/>
      <c r="J13" s="20">
        <f>I13+Январь!J13</f>
        <v>0</v>
      </c>
      <c r="K13" s="8"/>
      <c r="L13" s="19">
        <f>K13+Январь!L13</f>
        <v>0</v>
      </c>
    </row>
    <row r="14" spans="1:13">
      <c r="A14" s="1">
        <f t="shared" si="1"/>
        <v>12</v>
      </c>
      <c r="B14" s="39" t="str">
        <f>Январь!B14</f>
        <v>Управление многокв.домом</v>
      </c>
      <c r="C14" s="8">
        <f>884.11+3512.54</f>
        <v>4396.6499999999996</v>
      </c>
      <c r="D14" s="19">
        <f>C14+Январь!D14</f>
        <v>8793.2999999999993</v>
      </c>
      <c r="E14" s="9">
        <f>1040.66+3347.56</f>
        <v>4388.22</v>
      </c>
      <c r="F14" s="19">
        <f>E14+Январь!F14</f>
        <v>6990.71</v>
      </c>
      <c r="G14" s="19">
        <f t="shared" si="0"/>
        <v>-8.4299999999993815</v>
      </c>
      <c r="H14" s="20">
        <f t="shared" si="0"/>
        <v>-1802.5899999999992</v>
      </c>
      <c r="I14" s="9"/>
      <c r="J14" s="20">
        <f>I14+Январь!J14</f>
        <v>0</v>
      </c>
      <c r="K14" s="8"/>
      <c r="L14" s="19">
        <f>K14+Январь!L14</f>
        <v>0</v>
      </c>
    </row>
    <row r="15" spans="1:13">
      <c r="A15" s="1">
        <f t="shared" si="1"/>
        <v>13</v>
      </c>
      <c r="B15" s="39" t="str">
        <f>Январь!B15</f>
        <v>Водоотведение(кв)</v>
      </c>
      <c r="C15" s="8">
        <f>4147.55+10706.57</f>
        <v>14854.119999999999</v>
      </c>
      <c r="D15" s="19">
        <f>C15+Январь!D15</f>
        <v>26115.72</v>
      </c>
      <c r="E15" s="9">
        <f>2794.56+8200.88</f>
        <v>10995.439999999999</v>
      </c>
      <c r="F15" s="19">
        <f>E15+Январь!F15</f>
        <v>18337.78</v>
      </c>
      <c r="G15" s="19">
        <f t="shared" si="0"/>
        <v>-3858.6800000000003</v>
      </c>
      <c r="H15" s="20">
        <f t="shared" si="0"/>
        <v>-7777.9400000000023</v>
      </c>
      <c r="I15" s="9"/>
      <c r="J15" s="20">
        <f>I15+Январь!J15</f>
        <v>0</v>
      </c>
      <c r="K15" s="8"/>
      <c r="L15" s="19">
        <f>K15+Январь!L15</f>
        <v>0</v>
      </c>
    </row>
    <row r="16" spans="1:13">
      <c r="A16" s="1">
        <f t="shared" si="1"/>
        <v>14</v>
      </c>
      <c r="B16" s="39" t="str">
        <f>Январь!B16</f>
        <v>Эксплуатация общед.ПУ</v>
      </c>
      <c r="C16" s="8">
        <f>227.07+902.09</f>
        <v>1129.1600000000001</v>
      </c>
      <c r="D16" s="19">
        <f>C16+Январь!D16</f>
        <v>2258.3200000000002</v>
      </c>
      <c r="E16" s="9">
        <f>267.28+859.74</f>
        <v>1127.02</v>
      </c>
      <c r="F16" s="19">
        <f>E16+Январь!F16</f>
        <v>1795.4</v>
      </c>
      <c r="G16" s="19">
        <f t="shared" si="0"/>
        <v>-2.1400000000001</v>
      </c>
      <c r="H16" s="20">
        <f t="shared" si="0"/>
        <v>-462.92000000000007</v>
      </c>
      <c r="I16" s="9"/>
      <c r="J16" s="20">
        <f>I16+Январь!J16</f>
        <v>0</v>
      </c>
      <c r="K16" s="8"/>
      <c r="L16" s="19">
        <f>K16+Январь!L16</f>
        <v>0</v>
      </c>
    </row>
    <row r="17" spans="1:12">
      <c r="A17" s="1">
        <f t="shared" si="1"/>
        <v>15</v>
      </c>
      <c r="B17" s="39" t="str">
        <f>Январь!B17</f>
        <v>Хол. водоснаб(о/д нужды)</v>
      </c>
      <c r="C17" s="8">
        <f>103.58+411</f>
        <v>514.58000000000004</v>
      </c>
      <c r="D17" s="19">
        <f>C17+Январь!D17</f>
        <v>1029.1600000000001</v>
      </c>
      <c r="E17" s="9">
        <f>122+392.05</f>
        <v>514.04999999999995</v>
      </c>
      <c r="F17" s="19">
        <f>E17+Январь!F17</f>
        <v>818.74</v>
      </c>
      <c r="G17" s="19">
        <f t="shared" si="0"/>
        <v>-0.5300000000000864</v>
      </c>
      <c r="H17" s="20">
        <f t="shared" si="0"/>
        <v>-210.42000000000007</v>
      </c>
      <c r="I17" s="9"/>
      <c r="J17" s="20">
        <f>I17+Январь!J17</f>
        <v>0</v>
      </c>
      <c r="K17" s="8"/>
      <c r="L17" s="19">
        <f>K17+Январь!L17</f>
        <v>0</v>
      </c>
    </row>
    <row r="18" spans="1:12">
      <c r="A18" s="1">
        <f t="shared" si="1"/>
        <v>16</v>
      </c>
      <c r="B18" s="39" t="str">
        <f>Январь!B18</f>
        <v>Водоотведение(о/д нужды)</v>
      </c>
      <c r="C18" s="8">
        <v>0</v>
      </c>
      <c r="D18" s="19">
        <f>C18+Январь!D18</f>
        <v>0</v>
      </c>
      <c r="E18" s="9">
        <v>0</v>
      </c>
      <c r="F18" s="19">
        <f>E18+Январь!F18</f>
        <v>0</v>
      </c>
      <c r="G18" s="19">
        <f t="shared" si="0"/>
        <v>0</v>
      </c>
      <c r="H18" s="20">
        <f t="shared" si="0"/>
        <v>0</v>
      </c>
      <c r="I18" s="9"/>
      <c r="J18" s="20">
        <f>I18+Январь!J18</f>
        <v>0</v>
      </c>
      <c r="K18" s="8"/>
      <c r="L18" s="19">
        <f>K18+Январь!L18</f>
        <v>0</v>
      </c>
    </row>
    <row r="19" spans="1:12" ht="16.5" customHeight="1">
      <c r="A19" s="1">
        <f t="shared" si="1"/>
        <v>17</v>
      </c>
      <c r="B19" s="39" t="str">
        <f>Январь!B19</f>
        <v>Отопление(о/д нужды)</v>
      </c>
      <c r="C19" s="8">
        <v>0</v>
      </c>
      <c r="D19" s="19">
        <f>C19+Январь!D19</f>
        <v>0</v>
      </c>
      <c r="E19" s="9">
        <v>0</v>
      </c>
      <c r="F19" s="19">
        <f>E19+Январь!F19</f>
        <v>0</v>
      </c>
      <c r="G19" s="19">
        <f t="shared" si="0"/>
        <v>0</v>
      </c>
      <c r="H19" s="20">
        <f t="shared" si="0"/>
        <v>0</v>
      </c>
      <c r="I19" s="9"/>
      <c r="J19" s="20">
        <f>I19+Январь!J19</f>
        <v>0</v>
      </c>
      <c r="K19" s="9"/>
      <c r="L19" s="19">
        <f>K19+Январь!L19</f>
        <v>0</v>
      </c>
    </row>
    <row r="20" spans="1:12" ht="15" customHeight="1">
      <c r="A20" s="1">
        <f t="shared" si="1"/>
        <v>18</v>
      </c>
      <c r="B20" s="39" t="str">
        <f>Январь!B20</f>
        <v>Электроснабжение(общед.нужды)</v>
      </c>
      <c r="C20" s="8">
        <f>1709.46+6060.43+2194.47</f>
        <v>9964.36</v>
      </c>
      <c r="D20" s="19">
        <f>C20+Январь!D20</f>
        <v>21584</v>
      </c>
      <c r="E20" s="9">
        <f>2687.03+6672.36+2238.16</f>
        <v>11597.55</v>
      </c>
      <c r="F20" s="19">
        <f>E20+Январь!F20</f>
        <v>19162.96</v>
      </c>
      <c r="G20" s="19">
        <f t="shared" si="0"/>
        <v>1633.1899999999987</v>
      </c>
      <c r="H20" s="20">
        <f t="shared" si="0"/>
        <v>-2421.0400000000009</v>
      </c>
      <c r="I20" s="9"/>
      <c r="J20" s="20">
        <f>I20+Январь!J20</f>
        <v>0</v>
      </c>
      <c r="K20" s="8"/>
      <c r="L20" s="19">
        <f>K20+Январь!L20</f>
        <v>0</v>
      </c>
    </row>
    <row r="21" spans="1:12">
      <c r="A21" s="1">
        <f t="shared" si="1"/>
        <v>19</v>
      </c>
      <c r="B21" s="39" t="str">
        <f>Январь!B21</f>
        <v>Капитальный ремонт</v>
      </c>
      <c r="C21" s="8">
        <v>0</v>
      </c>
      <c r="D21" s="19">
        <f>C21+Январь!D21</f>
        <v>0</v>
      </c>
      <c r="E21" s="9">
        <v>0</v>
      </c>
      <c r="F21" s="19">
        <f>E21+Январь!F21</f>
        <v>0</v>
      </c>
      <c r="G21" s="19">
        <f t="shared" si="0"/>
        <v>0</v>
      </c>
      <c r="H21" s="20">
        <f t="shared" si="0"/>
        <v>0</v>
      </c>
      <c r="I21" s="9"/>
      <c r="J21" s="20">
        <f>I21+Январь!J21</f>
        <v>0</v>
      </c>
      <c r="K21" s="8"/>
      <c r="L21" s="19">
        <f>K21+Январь!L21</f>
        <v>0</v>
      </c>
    </row>
    <row r="22" spans="1:12">
      <c r="A22" s="1">
        <f t="shared" si="1"/>
        <v>20</v>
      </c>
      <c r="B22" s="39" t="str">
        <f>Январь!B22</f>
        <v>Гор. Водоснабж. (о/д нужды)</v>
      </c>
      <c r="C22" s="8">
        <f>917.67+229.66</f>
        <v>1147.33</v>
      </c>
      <c r="D22" s="19">
        <f>C22+Январь!D22</f>
        <v>2294.66</v>
      </c>
      <c r="E22" s="9">
        <f>906.36+270.39</f>
        <v>1176.75</v>
      </c>
      <c r="F22" s="19">
        <f>E22+Январь!F22</f>
        <v>1855.49</v>
      </c>
      <c r="G22" s="19">
        <f t="shared" si="0"/>
        <v>29.420000000000073</v>
      </c>
      <c r="H22" s="20">
        <f t="shared" si="0"/>
        <v>-439.16999999999985</v>
      </c>
      <c r="I22" s="9"/>
      <c r="J22" s="20">
        <f>I22+Январь!J22</f>
        <v>0</v>
      </c>
      <c r="K22" s="8"/>
      <c r="L22" s="19">
        <f>K22+Январь!L22</f>
        <v>0</v>
      </c>
    </row>
    <row r="23" spans="1:12" s="11" customFormat="1">
      <c r="A23" s="33"/>
      <c r="B23" s="32" t="s">
        <v>12</v>
      </c>
      <c r="C23" s="30">
        <f t="shared" ref="C23:L23" si="2">SUM(C3:C22)</f>
        <v>200540.09</v>
      </c>
      <c r="D23" s="30">
        <f t="shared" si="2"/>
        <v>381553.61999999994</v>
      </c>
      <c r="E23" s="31">
        <f t="shared" si="2"/>
        <v>177079.43999999997</v>
      </c>
      <c r="F23" s="30">
        <f t="shared" si="2"/>
        <v>280983.51</v>
      </c>
      <c r="G23" s="30">
        <f t="shared" si="2"/>
        <v>-23460.65</v>
      </c>
      <c r="H23" s="31">
        <f t="shared" si="2"/>
        <v>-100570.11</v>
      </c>
      <c r="I23" s="31">
        <f t="shared" si="2"/>
        <v>0</v>
      </c>
      <c r="J23" s="31">
        <f t="shared" si="2"/>
        <v>0</v>
      </c>
      <c r="K23" s="30">
        <f t="shared" si="2"/>
        <v>0</v>
      </c>
      <c r="L23" s="30">
        <f t="shared" si="2"/>
        <v>0</v>
      </c>
    </row>
    <row r="26" spans="1:12">
      <c r="B26" s="1" t="s">
        <v>37</v>
      </c>
      <c r="C26" s="9">
        <f>C9+C10+C11+C15+C17+C18</f>
        <v>24502.11</v>
      </c>
      <c r="D26" s="9">
        <f t="shared" ref="D26:J26" si="3">D9+D10+D11+D15+D17+D18</f>
        <v>42918.12</v>
      </c>
      <c r="E26" s="9">
        <f t="shared" si="3"/>
        <v>18126.899999999998</v>
      </c>
      <c r="F26" s="9">
        <f t="shared" si="3"/>
        <v>29755.8</v>
      </c>
      <c r="G26" s="9">
        <f t="shared" si="3"/>
        <v>-6375.21</v>
      </c>
      <c r="H26" s="9">
        <f t="shared" si="3"/>
        <v>-13162.320000000003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35722.36</v>
      </c>
      <c r="D27" s="9">
        <f t="shared" ref="D27:J27" si="4">D8+D20</f>
        <v>73834.399999999994</v>
      </c>
      <c r="E27" s="9">
        <f t="shared" si="4"/>
        <v>38047.14</v>
      </c>
      <c r="F27" s="9">
        <f t="shared" si="4"/>
        <v>60198.33</v>
      </c>
      <c r="G27" s="9">
        <f t="shared" si="4"/>
        <v>2324.7800000000025</v>
      </c>
      <c r="H27" s="9">
        <f t="shared" si="4"/>
        <v>-13636.07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99540.61</v>
      </c>
      <c r="D28" s="9">
        <f t="shared" ref="D28:J28" si="5">D4+D5+D19+D22</f>
        <v>183251.08</v>
      </c>
      <c r="E28" s="9">
        <f t="shared" si="5"/>
        <v>80231.289999999994</v>
      </c>
      <c r="F28" s="9">
        <f t="shared" si="5"/>
        <v>126214.27</v>
      </c>
      <c r="G28" s="9">
        <f t="shared" si="5"/>
        <v>-19309.32</v>
      </c>
      <c r="H28" s="9">
        <f t="shared" si="5"/>
        <v>-57036.81</v>
      </c>
      <c r="I28" s="9">
        <f t="shared" si="5"/>
        <v>0</v>
      </c>
      <c r="J28" s="9">
        <f t="shared" si="5"/>
        <v>0</v>
      </c>
    </row>
    <row r="31" spans="1:12">
      <c r="C31">
        <f>159313.96+41226.13</f>
        <v>200540.09</v>
      </c>
      <c r="E31">
        <f>135185.39+41894.05</f>
        <v>177079.44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opLeftCell="B4" workbookViewId="0">
      <selection activeCell="B25" sqref="B25:H25"/>
    </sheetView>
  </sheetViews>
  <sheetFormatPr defaultRowHeight="12.75"/>
  <cols>
    <col min="1" max="1" width="4.85546875" customWidth="1"/>
    <col min="2" max="2" width="30.42578125" customWidth="1"/>
    <col min="3" max="3" width="11.28515625" customWidth="1"/>
    <col min="4" max="4" width="10.5703125" customWidth="1"/>
    <col min="5" max="5" width="10.85546875" customWidth="1"/>
    <col min="6" max="6" width="11.140625" customWidth="1"/>
    <col min="7" max="7" width="11" customWidth="1"/>
    <col min="8" max="8" width="11.42578125" customWidth="1"/>
    <col min="9" max="9" width="10" customWidth="1"/>
    <col min="10" max="10" width="10.42578125" customWidth="1"/>
    <col min="11" max="11" width="9.28515625" bestFit="1" customWidth="1"/>
    <col min="12" max="12" width="11.5703125" customWidth="1"/>
    <col min="13" max="13" width="12" customWidth="1"/>
  </cols>
  <sheetData>
    <row r="1" spans="1:13" ht="24.75" customHeight="1">
      <c r="B1" s="11" t="s">
        <v>20</v>
      </c>
      <c r="C1" s="68" t="s">
        <v>47</v>
      </c>
    </row>
    <row r="2" spans="1:13" s="29" customFormat="1" ht="38.25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>
      <c r="A3" s="1">
        <v>1</v>
      </c>
      <c r="B3" s="39" t="str">
        <f>февраль!B3</f>
        <v>Содержание общ.имущ.дома</v>
      </c>
      <c r="C3" s="8">
        <f>3428.39+16929.52</f>
        <v>20357.91</v>
      </c>
      <c r="D3" s="19">
        <f>C3+февраль!D3</f>
        <v>61073.729999999996</v>
      </c>
      <c r="E3" s="9">
        <f>15840.56+5142.12</f>
        <v>20982.68</v>
      </c>
      <c r="F3" s="19">
        <f>E3+февраль!F3</f>
        <v>53352.24</v>
      </c>
      <c r="G3" s="19">
        <f>E3-C3</f>
        <v>624.77000000000044</v>
      </c>
      <c r="H3" s="20">
        <f>F3-D3</f>
        <v>-7721.489999999998</v>
      </c>
      <c r="I3" s="9"/>
      <c r="J3" s="20">
        <f>I3+февраль!J3</f>
        <v>0</v>
      </c>
      <c r="K3" s="8"/>
      <c r="L3" s="19">
        <f>K3+февраль!L3</f>
        <v>0</v>
      </c>
    </row>
    <row r="4" spans="1:13">
      <c r="A4" s="1">
        <f>A3+1</f>
        <v>2</v>
      </c>
      <c r="B4" s="39" t="str">
        <f>февраль!B4</f>
        <v>Отопление</v>
      </c>
      <c r="C4" s="8">
        <f>63810.98+12922.31</f>
        <v>76733.290000000008</v>
      </c>
      <c r="D4" s="19">
        <f>C4+февраль!D4</f>
        <v>220473.60000000001</v>
      </c>
      <c r="E4" s="9">
        <f>55288.5+13197.11</f>
        <v>68485.61</v>
      </c>
      <c r="F4" s="19">
        <f>E4+февраль!F4</f>
        <v>164994.81</v>
      </c>
      <c r="G4" s="19">
        <f t="shared" ref="G4:H22" si="0">E4-C4</f>
        <v>-8247.6800000000076</v>
      </c>
      <c r="H4" s="20">
        <f t="shared" si="0"/>
        <v>-55478.790000000008</v>
      </c>
      <c r="I4" s="9"/>
      <c r="J4" s="20">
        <f>I4+февраль!J4</f>
        <v>0</v>
      </c>
      <c r="K4" s="8"/>
      <c r="L4" s="19">
        <f>K4+февраль!L4</f>
        <v>0</v>
      </c>
      <c r="M4" s="12">
        <f>L4-J4</f>
        <v>0</v>
      </c>
    </row>
    <row r="5" spans="1:13">
      <c r="A5" s="1">
        <f t="shared" ref="A5:A22" si="1">A4+1</f>
        <v>3</v>
      </c>
      <c r="B5" s="39" t="str">
        <f>февраль!B5</f>
        <v>Горячее водоснабжение</v>
      </c>
      <c r="C5" s="8">
        <f>7320.34+24755.63</f>
        <v>32075.97</v>
      </c>
      <c r="D5" s="19">
        <f>C5+февраль!D5</f>
        <v>69292.08</v>
      </c>
      <c r="E5" s="9">
        <f>6536.33+14716.41</f>
        <v>21252.739999999998</v>
      </c>
      <c r="F5" s="19">
        <f>E5+февраль!F5</f>
        <v>49102.32</v>
      </c>
      <c r="G5" s="19">
        <f t="shared" si="0"/>
        <v>-10823.230000000003</v>
      </c>
      <c r="H5" s="20">
        <f t="shared" si="0"/>
        <v>-20189.760000000002</v>
      </c>
      <c r="I5" s="9"/>
      <c r="J5" s="20">
        <f>I5+февраль!J5</f>
        <v>0</v>
      </c>
      <c r="K5" s="8"/>
      <c r="L5" s="19">
        <f>K5+февраль!L5</f>
        <v>0</v>
      </c>
    </row>
    <row r="6" spans="1:13">
      <c r="A6" s="1">
        <f t="shared" si="1"/>
        <v>4</v>
      </c>
      <c r="B6" s="39" t="str">
        <f>февраль!B6</f>
        <v>Газ</v>
      </c>
      <c r="C6" s="8">
        <f>0</f>
        <v>0</v>
      </c>
      <c r="D6" s="19">
        <f>C6+февраль!D6</f>
        <v>0</v>
      </c>
      <c r="E6" s="9">
        <v>0</v>
      </c>
      <c r="F6" s="19">
        <f>E6+февраль!F6</f>
        <v>0</v>
      </c>
      <c r="G6" s="19">
        <f t="shared" si="0"/>
        <v>0</v>
      </c>
      <c r="H6" s="20">
        <f t="shared" si="0"/>
        <v>0</v>
      </c>
      <c r="I6" s="9"/>
      <c r="J6" s="20">
        <f>I6+февраль!J6</f>
        <v>0</v>
      </c>
      <c r="K6" s="8"/>
      <c r="L6" s="19">
        <f>K6+февраль!L6</f>
        <v>0</v>
      </c>
    </row>
    <row r="7" spans="1:13">
      <c r="A7" s="1">
        <f t="shared" si="1"/>
        <v>5</v>
      </c>
      <c r="B7" s="39" t="str">
        <f>февраль!B7</f>
        <v>Уборка и сан.очистка зем.уч.</v>
      </c>
      <c r="C7" s="8">
        <f>527.23+2603.47</f>
        <v>3130.7</v>
      </c>
      <c r="D7" s="19">
        <f>C7+февраль!D7</f>
        <v>9392.0999999999985</v>
      </c>
      <c r="E7" s="9">
        <f>788.76+2435.65</f>
        <v>3224.41</v>
      </c>
      <c r="F7" s="19">
        <f>E7+февраль!F7</f>
        <v>8202.2000000000007</v>
      </c>
      <c r="G7" s="19">
        <f t="shared" si="0"/>
        <v>93.710000000000036</v>
      </c>
      <c r="H7" s="20">
        <f t="shared" si="0"/>
        <v>-1189.8999999999978</v>
      </c>
      <c r="I7" s="9"/>
      <c r="J7" s="20">
        <f>I7+февраль!J7</f>
        <v>0</v>
      </c>
      <c r="K7" s="8"/>
      <c r="L7" s="19">
        <f>K7+февраль!L7</f>
        <v>0</v>
      </c>
    </row>
    <row r="8" spans="1:13">
      <c r="A8" s="1">
        <f t="shared" si="1"/>
        <v>6</v>
      </c>
      <c r="B8" s="39" t="str">
        <f>февраль!B8</f>
        <v>Электроснабжение(инд.потр)</v>
      </c>
      <c r="C8" s="8">
        <f>21810.6+3947.4</f>
        <v>25758</v>
      </c>
      <c r="D8" s="19">
        <f>C8+февраль!D8</f>
        <v>78008.399999999994</v>
      </c>
      <c r="E8" s="9">
        <f>17685.17+6300.07</f>
        <v>23985.239999999998</v>
      </c>
      <c r="F8" s="19">
        <f>E8+февраль!F8</f>
        <v>65020.61</v>
      </c>
      <c r="G8" s="19">
        <f t="shared" si="0"/>
        <v>-1772.760000000002</v>
      </c>
      <c r="H8" s="20">
        <f t="shared" si="0"/>
        <v>-12987.789999999994</v>
      </c>
      <c r="I8" s="9"/>
      <c r="J8" s="20">
        <f>I8+февраль!J8</f>
        <v>0</v>
      </c>
      <c r="K8" s="8"/>
      <c r="L8" s="19">
        <f>K8+февраль!L8</f>
        <v>0</v>
      </c>
    </row>
    <row r="9" spans="1:13">
      <c r="A9" s="1">
        <f t="shared" si="1"/>
        <v>7</v>
      </c>
      <c r="B9" s="39" t="str">
        <f>февраль!B9</f>
        <v>Холодная вода</v>
      </c>
      <c r="C9" s="8">
        <f>7180.18+2762.9</f>
        <v>9943.08</v>
      </c>
      <c r="D9" s="19">
        <f>C9+февраль!D9</f>
        <v>25716.32</v>
      </c>
      <c r="E9" s="9">
        <f>5625.91+2840.74</f>
        <v>8466.65</v>
      </c>
      <c r="F9" s="19">
        <f>E9+февраль!F9</f>
        <v>19065.93</v>
      </c>
      <c r="G9" s="19">
        <f t="shared" si="0"/>
        <v>-1476.4300000000003</v>
      </c>
      <c r="H9" s="20">
        <f t="shared" si="0"/>
        <v>-6650.3899999999994</v>
      </c>
      <c r="I9" s="9"/>
      <c r="J9" s="20">
        <f>I9+февраль!J9</f>
        <v>0</v>
      </c>
      <c r="K9" s="8"/>
      <c r="L9" s="19">
        <f>K9+февраль!L9</f>
        <v>0</v>
      </c>
      <c r="M9" s="12"/>
    </row>
    <row r="10" spans="1:13">
      <c r="A10" s="1">
        <f t="shared" si="1"/>
        <v>8</v>
      </c>
      <c r="B10" s="39" t="str">
        <f>февраль!B10</f>
        <v>Канализирование х.воды</v>
      </c>
      <c r="C10" s="8">
        <v>0</v>
      </c>
      <c r="D10" s="19">
        <f>C10+февраль!D10</f>
        <v>0</v>
      </c>
      <c r="E10" s="9">
        <v>0</v>
      </c>
      <c r="F10" s="19">
        <f>E10+февраль!F10</f>
        <v>0</v>
      </c>
      <c r="G10" s="19">
        <f t="shared" si="0"/>
        <v>0</v>
      </c>
      <c r="H10" s="20">
        <f t="shared" si="0"/>
        <v>0</v>
      </c>
      <c r="I10" s="9"/>
      <c r="J10" s="20">
        <f>I10+февраль!J10</f>
        <v>0</v>
      </c>
      <c r="K10" s="8"/>
      <c r="L10" s="19">
        <f>K10+февраль!L10</f>
        <v>0</v>
      </c>
    </row>
    <row r="11" spans="1:13">
      <c r="A11" s="1">
        <f t="shared" si="1"/>
        <v>9</v>
      </c>
      <c r="B11" s="39" t="str">
        <f>февраль!B11</f>
        <v>Канализирование г.воды</v>
      </c>
      <c r="C11" s="8">
        <v>0</v>
      </c>
      <c r="D11" s="19">
        <f>C11+февраль!D11</f>
        <v>0</v>
      </c>
      <c r="E11" s="9">
        <v>0</v>
      </c>
      <c r="F11" s="19">
        <f>E11+февраль!F11</f>
        <v>0</v>
      </c>
      <c r="G11" s="19">
        <f t="shared" si="0"/>
        <v>0</v>
      </c>
      <c r="H11" s="20">
        <f t="shared" si="0"/>
        <v>0</v>
      </c>
      <c r="I11" s="9"/>
      <c r="J11" s="20">
        <f>I11+февраль!J11</f>
        <v>0</v>
      </c>
      <c r="K11" s="8"/>
      <c r="L11" s="19">
        <f>K11+февраль!L11</f>
        <v>0</v>
      </c>
    </row>
    <row r="12" spans="1:13">
      <c r="A12" s="1">
        <f t="shared" si="1"/>
        <v>10</v>
      </c>
      <c r="B12" s="39" t="str">
        <f>февраль!B12</f>
        <v>Тек.рем.общ.имущ.дома</v>
      </c>
      <c r="C12" s="8">
        <f>1789.09+8834.69</f>
        <v>10623.78</v>
      </c>
      <c r="D12" s="19">
        <f>C12+февраль!D12</f>
        <v>31871.339999999997</v>
      </c>
      <c r="E12" s="9">
        <f>2692.23+8266.74</f>
        <v>10958.97</v>
      </c>
      <c r="F12" s="19">
        <f>E12+февраль!F12</f>
        <v>27851.89</v>
      </c>
      <c r="G12" s="19">
        <f t="shared" si="0"/>
        <v>335.18999999999869</v>
      </c>
      <c r="H12" s="20">
        <f t="shared" si="0"/>
        <v>-4019.4499999999971</v>
      </c>
      <c r="I12" s="9"/>
      <c r="J12" s="20">
        <f>I12+февраль!J12</f>
        <v>0</v>
      </c>
      <c r="K12" s="8"/>
      <c r="L12" s="19">
        <f>K12+февраль!L12</f>
        <v>0</v>
      </c>
    </row>
    <row r="13" spans="1:13">
      <c r="A13" s="1">
        <f t="shared" si="1"/>
        <v>11</v>
      </c>
      <c r="B13" s="39" t="str">
        <f>февраль!B13</f>
        <v>Сод.и тек.рем.в/дом.газосн</v>
      </c>
      <c r="C13" s="8">
        <f>184.86+951.95</f>
        <v>1136.81</v>
      </c>
      <c r="D13" s="19">
        <f>C13+февраль!D13</f>
        <v>3410.43</v>
      </c>
      <c r="E13" s="9">
        <f>284.92+879.73</f>
        <v>1164.6500000000001</v>
      </c>
      <c r="F13" s="19">
        <f>E13+февраль!F13</f>
        <v>2953.38</v>
      </c>
      <c r="G13" s="19">
        <f t="shared" si="0"/>
        <v>27.840000000000146</v>
      </c>
      <c r="H13" s="20">
        <f t="shared" si="0"/>
        <v>-457.04999999999973</v>
      </c>
      <c r="I13" s="9"/>
      <c r="J13" s="20">
        <f>I13+февраль!J13</f>
        <v>0</v>
      </c>
      <c r="K13" s="8"/>
      <c r="L13" s="19">
        <f>K13+февраль!L13</f>
        <v>0</v>
      </c>
    </row>
    <row r="14" spans="1:13">
      <c r="A14" s="1">
        <f t="shared" si="1"/>
        <v>12</v>
      </c>
      <c r="B14" s="39" t="str">
        <f>февраль!B14</f>
        <v>Управление многокв.домом</v>
      </c>
      <c r="C14" s="8">
        <f>740.42+3656.23</f>
        <v>4396.6499999999996</v>
      </c>
      <c r="D14" s="19">
        <f>C14+февраль!D14</f>
        <v>13189.949999999999</v>
      </c>
      <c r="E14" s="9">
        <f>1111.23+3419.25</f>
        <v>4530.4799999999996</v>
      </c>
      <c r="F14" s="19">
        <f>E14+февраль!F14</f>
        <v>11521.189999999999</v>
      </c>
      <c r="G14" s="19">
        <f t="shared" si="0"/>
        <v>133.82999999999993</v>
      </c>
      <c r="H14" s="20">
        <f t="shared" si="0"/>
        <v>-1668.7600000000002</v>
      </c>
      <c r="I14" s="9"/>
      <c r="J14" s="20">
        <f>I14+февраль!J14</f>
        <v>0</v>
      </c>
      <c r="K14" s="8"/>
      <c r="L14" s="19">
        <f>K14+февраль!L14</f>
        <v>0</v>
      </c>
    </row>
    <row r="15" spans="1:13">
      <c r="A15" s="1">
        <f t="shared" si="1"/>
        <v>13</v>
      </c>
      <c r="B15" s="39" t="str">
        <f>февраль!B15</f>
        <v>Водоотведение(кв)</v>
      </c>
      <c r="C15" s="8">
        <f>4797.21+14065.37</f>
        <v>18862.580000000002</v>
      </c>
      <c r="D15" s="19">
        <f>C15+февраль!D15</f>
        <v>44978.3</v>
      </c>
      <c r="E15" s="9">
        <f>9760.61+4675.13</f>
        <v>14435.740000000002</v>
      </c>
      <c r="F15" s="19">
        <f>E15+февраль!F15</f>
        <v>32773.520000000004</v>
      </c>
      <c r="G15" s="19">
        <f t="shared" si="0"/>
        <v>-4426.84</v>
      </c>
      <c r="H15" s="20">
        <f t="shared" si="0"/>
        <v>-12204.779999999999</v>
      </c>
      <c r="I15" s="9"/>
      <c r="J15" s="20">
        <f>I15+февраль!J15</f>
        <v>0</v>
      </c>
      <c r="K15" s="8"/>
      <c r="L15" s="19">
        <f>K15+февраль!L15</f>
        <v>0</v>
      </c>
    </row>
    <row r="16" spans="1:13">
      <c r="A16" s="1">
        <f t="shared" si="1"/>
        <v>14</v>
      </c>
      <c r="B16" s="39" t="str">
        <f>февраль!B16</f>
        <v>Эксплуатация общед.ПУ</v>
      </c>
      <c r="C16" s="8">
        <f>938.99+190.17</f>
        <v>1129.1600000000001</v>
      </c>
      <c r="D16" s="19">
        <f>C16+февраль!D16</f>
        <v>3387.4800000000005</v>
      </c>
      <c r="E16" s="9">
        <f>879.23+286.15</f>
        <v>1165.3800000000001</v>
      </c>
      <c r="F16" s="19">
        <f>E16+февраль!F16</f>
        <v>2960.78</v>
      </c>
      <c r="G16" s="19">
        <f t="shared" si="0"/>
        <v>36.220000000000027</v>
      </c>
      <c r="H16" s="20">
        <f t="shared" si="0"/>
        <v>-426.70000000000027</v>
      </c>
      <c r="I16" s="9"/>
      <c r="J16" s="20">
        <f>I16+февраль!J16</f>
        <v>0</v>
      </c>
      <c r="K16" s="8"/>
      <c r="L16" s="19">
        <f>K16+февраль!L16</f>
        <v>0</v>
      </c>
    </row>
    <row r="17" spans="1:12">
      <c r="A17" s="1">
        <f t="shared" si="1"/>
        <v>15</v>
      </c>
      <c r="B17" s="39" t="str">
        <f>февраль!B17</f>
        <v>Хол. водоснаб(о/д нужды)</v>
      </c>
      <c r="C17" s="8">
        <f>427.79+86.79</f>
        <v>514.58000000000004</v>
      </c>
      <c r="D17" s="19">
        <f>C17+февраль!D17</f>
        <v>1543.7400000000002</v>
      </c>
      <c r="E17" s="9">
        <f>399.8+138.78</f>
        <v>538.58000000000004</v>
      </c>
      <c r="F17" s="19">
        <f>E17+февраль!F17</f>
        <v>1357.3200000000002</v>
      </c>
      <c r="G17" s="19">
        <f t="shared" si="0"/>
        <v>24</v>
      </c>
      <c r="H17" s="20">
        <f t="shared" si="0"/>
        <v>-186.42000000000007</v>
      </c>
      <c r="I17" s="9"/>
      <c r="J17" s="20">
        <f>I17+февраль!J17</f>
        <v>0</v>
      </c>
      <c r="K17" s="8"/>
      <c r="L17" s="19">
        <f>K17+февраль!L17</f>
        <v>0</v>
      </c>
    </row>
    <row r="18" spans="1:12">
      <c r="A18" s="1">
        <f t="shared" si="1"/>
        <v>16</v>
      </c>
      <c r="B18" s="39" t="str">
        <f>февраль!B18</f>
        <v>Водоотведение(о/д нужды)</v>
      </c>
      <c r="C18" s="8">
        <v>0</v>
      </c>
      <c r="D18" s="19">
        <v>0</v>
      </c>
      <c r="E18" s="9">
        <v>0</v>
      </c>
      <c r="F18" s="19">
        <f>E18+февраль!F18</f>
        <v>0</v>
      </c>
      <c r="G18" s="19">
        <f t="shared" si="0"/>
        <v>0</v>
      </c>
      <c r="H18" s="20">
        <f t="shared" si="0"/>
        <v>0</v>
      </c>
      <c r="I18" s="9"/>
      <c r="J18" s="20">
        <f>I18+февраль!J18</f>
        <v>0</v>
      </c>
      <c r="K18" s="8"/>
      <c r="L18" s="19">
        <f>K18+февраль!L18</f>
        <v>0</v>
      </c>
    </row>
    <row r="19" spans="1:12" ht="14.25" customHeight="1">
      <c r="A19" s="1">
        <f t="shared" si="1"/>
        <v>17</v>
      </c>
      <c r="B19" s="39" t="str">
        <f>февраль!B19</f>
        <v>Отопление(о/д нужды)</v>
      </c>
      <c r="C19" s="8">
        <v>0</v>
      </c>
      <c r="D19" s="19">
        <f>C19+февраль!D19</f>
        <v>0</v>
      </c>
      <c r="E19" s="9">
        <v>0</v>
      </c>
      <c r="F19" s="19">
        <f>E19+февраль!F19</f>
        <v>0</v>
      </c>
      <c r="G19" s="19">
        <f t="shared" si="0"/>
        <v>0</v>
      </c>
      <c r="H19" s="20">
        <f t="shared" si="0"/>
        <v>0</v>
      </c>
      <c r="I19" s="9"/>
      <c r="J19" s="20">
        <f>I19+февраль!J19</f>
        <v>0</v>
      </c>
      <c r="K19" s="9"/>
      <c r="L19" s="19">
        <f>K19+февраль!L19</f>
        <v>0</v>
      </c>
    </row>
    <row r="20" spans="1:12" ht="14.25" customHeight="1">
      <c r="A20" s="1">
        <f t="shared" si="1"/>
        <v>18</v>
      </c>
      <c r="B20" s="39" t="str">
        <f>февраль!B20</f>
        <v>Электроснабжение(общед.нужды)</v>
      </c>
      <c r="C20" s="8">
        <f>8077.78+2108.77+2194.47</f>
        <v>12381.019999999999</v>
      </c>
      <c r="D20" s="19">
        <f>C20+февраль!D20</f>
        <v>33965.019999999997</v>
      </c>
      <c r="E20" s="9">
        <f>5725.38+2289.5+3025.25</f>
        <v>11040.130000000001</v>
      </c>
      <c r="F20" s="19">
        <f>E20+февраль!F20</f>
        <v>30203.09</v>
      </c>
      <c r="G20" s="19">
        <f t="shared" si="0"/>
        <v>-1340.8899999999976</v>
      </c>
      <c r="H20" s="20">
        <f t="shared" si="0"/>
        <v>-3761.9299999999967</v>
      </c>
      <c r="I20" s="9"/>
      <c r="J20" s="20">
        <f>I20+февраль!J20</f>
        <v>0</v>
      </c>
      <c r="K20" s="8"/>
      <c r="L20" s="19">
        <f>K20+февраль!L20</f>
        <v>0</v>
      </c>
    </row>
    <row r="21" spans="1:12">
      <c r="A21" s="1">
        <f t="shared" si="1"/>
        <v>19</v>
      </c>
      <c r="B21" s="39" t="str">
        <f>февраль!B21</f>
        <v>Капитальный ремонт</v>
      </c>
      <c r="C21" s="8">
        <v>0</v>
      </c>
      <c r="D21" s="19">
        <f>C21+февраль!D21</f>
        <v>0</v>
      </c>
      <c r="E21" s="9">
        <v>0</v>
      </c>
      <c r="F21" s="19">
        <f>E21+февраль!F21</f>
        <v>0</v>
      </c>
      <c r="G21" s="19">
        <f t="shared" si="0"/>
        <v>0</v>
      </c>
      <c r="H21" s="20">
        <f t="shared" si="0"/>
        <v>0</v>
      </c>
      <c r="I21" s="9"/>
      <c r="J21" s="20">
        <f>I21+февраль!J21</f>
        <v>0</v>
      </c>
      <c r="K21" s="8"/>
      <c r="L21" s="19">
        <f>K21+февраль!L21</f>
        <v>0</v>
      </c>
    </row>
    <row r="22" spans="1:12">
      <c r="A22" s="1">
        <f t="shared" si="1"/>
        <v>20</v>
      </c>
      <c r="B22" s="39" t="str">
        <f>февраль!B22</f>
        <v>Гор. Водоснабж. (о/д нужды)</v>
      </c>
      <c r="C22" s="8">
        <f>954.94+192.39</f>
        <v>1147.33</v>
      </c>
      <c r="D22" s="19">
        <f>C22+февраль!D22</f>
        <v>3441.99</v>
      </c>
      <c r="E22" s="9">
        <f>891.63+296.46</f>
        <v>1188.0899999999999</v>
      </c>
      <c r="F22" s="19">
        <f>E22+февраль!F22</f>
        <v>3043.58</v>
      </c>
      <c r="G22" s="19">
        <f t="shared" si="0"/>
        <v>40.759999999999991</v>
      </c>
      <c r="H22" s="20">
        <f t="shared" si="0"/>
        <v>-398.40999999999985</v>
      </c>
      <c r="I22" s="9"/>
      <c r="J22" s="20">
        <f>I22+февраль!J22</f>
        <v>0</v>
      </c>
      <c r="K22" s="8"/>
      <c r="L22" s="19">
        <f>K22+февраль!L22</f>
        <v>0</v>
      </c>
    </row>
    <row r="23" spans="1:12" s="11" customFormat="1">
      <c r="A23" s="33"/>
      <c r="B23" s="32" t="s">
        <v>12</v>
      </c>
      <c r="C23" s="30">
        <f t="shared" ref="C23:L23" si="2">SUM(C3:C22)</f>
        <v>218190.86</v>
      </c>
      <c r="D23" s="30">
        <f t="shared" si="2"/>
        <v>599744.4800000001</v>
      </c>
      <c r="E23" s="31">
        <f t="shared" si="2"/>
        <v>191419.34999999998</v>
      </c>
      <c r="F23" s="30">
        <f t="shared" si="2"/>
        <v>472402.8600000001</v>
      </c>
      <c r="G23" s="30">
        <f t="shared" si="2"/>
        <v>-26771.510000000013</v>
      </c>
      <c r="H23" s="31">
        <f t="shared" si="2"/>
        <v>-127341.61999999998</v>
      </c>
      <c r="I23" s="31">
        <f t="shared" si="2"/>
        <v>0</v>
      </c>
      <c r="J23" s="31">
        <f t="shared" si="2"/>
        <v>0</v>
      </c>
      <c r="K23" s="30">
        <f t="shared" si="2"/>
        <v>0</v>
      </c>
      <c r="L23" s="30">
        <f t="shared" si="2"/>
        <v>0</v>
      </c>
    </row>
    <row r="25" spans="1:12">
      <c r="B25" s="40" t="s">
        <v>35</v>
      </c>
      <c r="C25" s="9">
        <f t="shared" ref="C25:H25" si="3">C3+C7+C12+C13+C14+C16</f>
        <v>40775.01</v>
      </c>
      <c r="D25" s="9">
        <f t="shared" si="3"/>
        <v>122325.02999999997</v>
      </c>
      <c r="E25" s="9">
        <f t="shared" si="3"/>
        <v>42026.57</v>
      </c>
      <c r="F25" s="9">
        <f t="shared" si="3"/>
        <v>106841.68000000001</v>
      </c>
      <c r="G25" s="9">
        <f t="shared" si="3"/>
        <v>1251.5599999999993</v>
      </c>
      <c r="H25" s="9">
        <f t="shared" si="3"/>
        <v>-15483.349999999993</v>
      </c>
    </row>
    <row r="26" spans="1:12">
      <c r="B26" s="1" t="s">
        <v>37</v>
      </c>
      <c r="C26" s="9">
        <f>C9+C10+C11+C15+C17+C18</f>
        <v>29320.240000000005</v>
      </c>
      <c r="D26" s="9">
        <f t="shared" ref="D26:J26" si="4">D9+D10+D11+D15+D17+D18</f>
        <v>72238.36</v>
      </c>
      <c r="E26" s="9">
        <f t="shared" si="4"/>
        <v>23440.97</v>
      </c>
      <c r="F26" s="9">
        <f t="shared" si="4"/>
        <v>53196.770000000004</v>
      </c>
      <c r="G26" s="9">
        <f t="shared" si="4"/>
        <v>-5879.27</v>
      </c>
      <c r="H26" s="9">
        <f t="shared" si="4"/>
        <v>-19041.589999999997</v>
      </c>
      <c r="I26" s="9">
        <f t="shared" si="4"/>
        <v>0</v>
      </c>
      <c r="J26" s="9">
        <f t="shared" si="4"/>
        <v>0</v>
      </c>
    </row>
    <row r="27" spans="1:12">
      <c r="B27" s="1" t="s">
        <v>38</v>
      </c>
      <c r="C27" s="9">
        <f>C8+C20</f>
        <v>38139.019999999997</v>
      </c>
      <c r="D27" s="9">
        <f t="shared" ref="D27:J27" si="5">D8+D20</f>
        <v>111973.41999999998</v>
      </c>
      <c r="E27" s="9">
        <f t="shared" si="5"/>
        <v>35025.369999999995</v>
      </c>
      <c r="F27" s="9">
        <f t="shared" si="5"/>
        <v>95223.7</v>
      </c>
      <c r="G27" s="9">
        <f t="shared" si="5"/>
        <v>-3113.6499999999996</v>
      </c>
      <c r="H27" s="9">
        <f t="shared" si="5"/>
        <v>-16749.71999999999</v>
      </c>
      <c r="I27" s="9">
        <f t="shared" si="5"/>
        <v>0</v>
      </c>
      <c r="J27" s="9">
        <f t="shared" si="5"/>
        <v>0</v>
      </c>
    </row>
    <row r="28" spans="1:12">
      <c r="B28" s="1" t="s">
        <v>39</v>
      </c>
      <c r="C28" s="9">
        <f>C4+C5+C19+C22</f>
        <v>109956.59000000001</v>
      </c>
      <c r="D28" s="9">
        <f t="shared" ref="D28:J28" si="6">D4+D5+D19+D22</f>
        <v>293207.67</v>
      </c>
      <c r="E28" s="9">
        <f t="shared" si="6"/>
        <v>90926.44</v>
      </c>
      <c r="F28" s="9">
        <f t="shared" si="6"/>
        <v>217140.71</v>
      </c>
      <c r="G28" s="9">
        <f t="shared" si="6"/>
        <v>-19030.150000000012</v>
      </c>
      <c r="H28" s="9">
        <f t="shared" si="6"/>
        <v>-76066.960000000021</v>
      </c>
      <c r="I28" s="9">
        <f t="shared" si="6"/>
        <v>0</v>
      </c>
      <c r="J28" s="9">
        <f t="shared" si="6"/>
        <v>0</v>
      </c>
    </row>
    <row r="31" spans="1:12">
      <c r="C31">
        <f>177192.59+40998.27</f>
        <v>218190.86</v>
      </c>
      <c r="E31">
        <f>144839.82+46579.53</f>
        <v>191419.35</v>
      </c>
    </row>
    <row r="36" spans="8:9">
      <c r="H36" s="11"/>
      <c r="I36" s="11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topLeftCell="B4" workbookViewId="0">
      <selection activeCell="B26" sqref="B26:H26"/>
    </sheetView>
  </sheetViews>
  <sheetFormatPr defaultRowHeight="12.75"/>
  <cols>
    <col min="1" max="1" width="4.85546875" customWidth="1"/>
    <col min="2" max="2" width="30" customWidth="1"/>
    <col min="3" max="3" width="11" customWidth="1"/>
    <col min="4" max="4" width="11.42578125" customWidth="1"/>
    <col min="5" max="6" width="10.7109375" customWidth="1"/>
    <col min="7" max="7" width="10.5703125" customWidth="1"/>
    <col min="8" max="8" width="11.28515625" customWidth="1"/>
    <col min="9" max="9" width="11.140625" customWidth="1"/>
    <col min="10" max="10" width="9.85546875" customWidth="1"/>
    <col min="11" max="11" width="10.140625" customWidth="1"/>
    <col min="12" max="12" width="10.7109375" customWidth="1"/>
    <col min="13" max="13" width="11.28515625" customWidth="1"/>
  </cols>
  <sheetData>
    <row r="2" spans="1:13">
      <c r="B2" s="11" t="s">
        <v>18</v>
      </c>
      <c r="C2" s="68" t="s">
        <v>46</v>
      </c>
    </row>
    <row r="3" spans="1:13" ht="38.25">
      <c r="A3" s="13" t="s">
        <v>0</v>
      </c>
      <c r="B3" s="14" t="s">
        <v>1</v>
      </c>
      <c r="C3" s="15" t="s">
        <v>2</v>
      </c>
      <c r="D3" s="21" t="s">
        <v>3</v>
      </c>
      <c r="E3" s="16" t="s">
        <v>4</v>
      </c>
      <c r="F3" s="21" t="s">
        <v>5</v>
      </c>
      <c r="G3" s="21" t="s">
        <v>6</v>
      </c>
      <c r="H3" s="22" t="s">
        <v>7</v>
      </c>
      <c r="I3" s="16" t="s">
        <v>8</v>
      </c>
      <c r="J3" s="22" t="s">
        <v>9</v>
      </c>
      <c r="K3" s="14" t="s">
        <v>10</v>
      </c>
      <c r="L3" s="21" t="s">
        <v>11</v>
      </c>
    </row>
    <row r="4" spans="1:13">
      <c r="A4" s="1">
        <v>1</v>
      </c>
      <c r="B4" s="39" t="str">
        <f>март!B3</f>
        <v>Содержание общ.имущ.дома</v>
      </c>
      <c r="C4" s="8">
        <f>3428.39+16929.52</f>
        <v>20357.91</v>
      </c>
      <c r="D4" s="19">
        <f>C4+март!D3</f>
        <v>81431.64</v>
      </c>
      <c r="E4" s="9">
        <f>1450.53+16787.14</f>
        <v>18237.669999999998</v>
      </c>
      <c r="F4" s="19">
        <f>E4+март!F3</f>
        <v>71589.91</v>
      </c>
      <c r="G4" s="19">
        <f>E4-C4</f>
        <v>-2120.2400000000016</v>
      </c>
      <c r="H4" s="20">
        <f>F4-D4</f>
        <v>-9841.7299999999959</v>
      </c>
      <c r="I4" s="9"/>
      <c r="J4" s="20">
        <f>I4+март!J3</f>
        <v>0</v>
      </c>
      <c r="K4" s="8"/>
      <c r="L4" s="19">
        <f>K4+март!L3</f>
        <v>0</v>
      </c>
    </row>
    <row r="5" spans="1:13">
      <c r="A5" s="1">
        <f>A4+1</f>
        <v>2</v>
      </c>
      <c r="B5" s="39" t="str">
        <f>март!B4</f>
        <v>Отопление</v>
      </c>
      <c r="C5" s="8">
        <f>9659.02+47696.66</f>
        <v>57355.680000000008</v>
      </c>
      <c r="D5" s="19">
        <f>C5+март!D4</f>
        <v>277829.28000000003</v>
      </c>
      <c r="E5" s="9">
        <f>6242.52+58385.04</f>
        <v>64627.56</v>
      </c>
      <c r="F5" s="19">
        <f>E5+март!F4</f>
        <v>229622.37</v>
      </c>
      <c r="G5" s="19">
        <f t="shared" ref="G5:H23" si="0">E5-C5</f>
        <v>7271.8799999999901</v>
      </c>
      <c r="H5" s="20">
        <f t="shared" si="0"/>
        <v>-48206.910000000033</v>
      </c>
      <c r="I5" s="9"/>
      <c r="J5" s="20">
        <f>I5+март!J4</f>
        <v>0</v>
      </c>
      <c r="K5" s="8"/>
      <c r="L5" s="19">
        <f>K5+март!L4</f>
        <v>0</v>
      </c>
      <c r="M5" s="12">
        <f>L5-J5</f>
        <v>0</v>
      </c>
    </row>
    <row r="6" spans="1:13">
      <c r="A6" s="1">
        <f t="shared" ref="A6:A23" si="1">A5+1</f>
        <v>3</v>
      </c>
      <c r="B6" s="39" t="str">
        <f>март!B5</f>
        <v>Горячее водоснабжение</v>
      </c>
      <c r="C6" s="60">
        <f>4523.33+28474.54</f>
        <v>32997.870000000003</v>
      </c>
      <c r="D6" s="19">
        <f>C6+март!D5</f>
        <v>102289.95000000001</v>
      </c>
      <c r="E6" s="9">
        <f>3478.11+19254.16</f>
        <v>22732.27</v>
      </c>
      <c r="F6" s="19">
        <f>E6+март!F5</f>
        <v>71834.59</v>
      </c>
      <c r="G6" s="19">
        <f t="shared" si="0"/>
        <v>-10265.600000000002</v>
      </c>
      <c r="H6" s="20">
        <f t="shared" si="0"/>
        <v>-30455.360000000015</v>
      </c>
      <c r="I6" s="9"/>
      <c r="J6" s="20">
        <f>I6+март!J5</f>
        <v>0</v>
      </c>
      <c r="K6" s="8"/>
      <c r="L6" s="19">
        <f>K6+март!L5</f>
        <v>0</v>
      </c>
    </row>
    <row r="7" spans="1:13">
      <c r="A7" s="1">
        <f t="shared" si="1"/>
        <v>4</v>
      </c>
      <c r="B7" s="39" t="str">
        <f>март!B6</f>
        <v>Газ</v>
      </c>
      <c r="C7" s="8">
        <f>0</f>
        <v>0</v>
      </c>
      <c r="D7" s="19">
        <f>C7+март!D6</f>
        <v>0</v>
      </c>
      <c r="E7" s="8">
        <f>0</f>
        <v>0</v>
      </c>
      <c r="F7" s="19">
        <f>E7+март!F6</f>
        <v>0</v>
      </c>
      <c r="G7" s="19">
        <f t="shared" si="0"/>
        <v>0</v>
      </c>
      <c r="H7" s="20">
        <f t="shared" si="0"/>
        <v>0</v>
      </c>
      <c r="I7" s="9"/>
      <c r="J7" s="20">
        <f>I7+март!J6</f>
        <v>0</v>
      </c>
      <c r="K7" s="8"/>
      <c r="L7" s="19">
        <f>K7+март!L6</f>
        <v>0</v>
      </c>
    </row>
    <row r="8" spans="1:13">
      <c r="A8" s="1">
        <f t="shared" si="1"/>
        <v>5</v>
      </c>
      <c r="B8" s="39" t="str">
        <f>март!B7</f>
        <v>Уборка и сан.очистка зем.уч.</v>
      </c>
      <c r="C8" s="8">
        <f>527.23+2603.47</f>
        <v>3130.7</v>
      </c>
      <c r="D8" s="19">
        <f>C8+март!D7</f>
        <v>12522.8</v>
      </c>
      <c r="E8" s="9">
        <f>223.07+2579.93</f>
        <v>2803</v>
      </c>
      <c r="F8" s="19">
        <f>E8+март!F7</f>
        <v>11005.2</v>
      </c>
      <c r="G8" s="19">
        <f t="shared" si="0"/>
        <v>-327.69999999999982</v>
      </c>
      <c r="H8" s="20">
        <f t="shared" si="0"/>
        <v>-1517.5999999999985</v>
      </c>
      <c r="I8" s="9"/>
      <c r="J8" s="20">
        <f>I8+март!J7</f>
        <v>0</v>
      </c>
      <c r="K8" s="8"/>
      <c r="L8" s="19">
        <f>K8+март!L7</f>
        <v>0</v>
      </c>
    </row>
    <row r="9" spans="1:13">
      <c r="A9" s="1">
        <f t="shared" si="1"/>
        <v>6</v>
      </c>
      <c r="B9" s="39" t="str">
        <f>март!B8</f>
        <v>Электроснабжение(инд.потр)</v>
      </c>
      <c r="C9" s="8">
        <f>4681.8+21693.96</f>
        <v>26375.759999999998</v>
      </c>
      <c r="D9" s="19">
        <f>C9+март!D8</f>
        <v>104384.15999999999</v>
      </c>
      <c r="E9" s="9">
        <f>1190.17+19632.31</f>
        <v>20822.480000000003</v>
      </c>
      <c r="F9" s="19">
        <f>E9+март!F8</f>
        <v>85843.09</v>
      </c>
      <c r="G9" s="19">
        <f t="shared" si="0"/>
        <v>-5553.2799999999952</v>
      </c>
      <c r="H9" s="20">
        <f t="shared" si="0"/>
        <v>-18541.069999999992</v>
      </c>
      <c r="I9" s="9"/>
      <c r="J9" s="20">
        <f>I9+март!J8</f>
        <v>0</v>
      </c>
      <c r="K9" s="8"/>
      <c r="L9" s="19">
        <f>K9+март!L8</f>
        <v>0</v>
      </c>
    </row>
    <row r="10" spans="1:13">
      <c r="A10" s="1">
        <f t="shared" si="1"/>
        <v>7</v>
      </c>
      <c r="B10" s="39" t="str">
        <f>март!B9</f>
        <v>Холодная вода</v>
      </c>
      <c r="C10" s="8">
        <f>1984.49+8345.44</f>
        <v>10329.93</v>
      </c>
      <c r="D10" s="19">
        <f>C10+март!D9</f>
        <v>36046.25</v>
      </c>
      <c r="E10" s="9">
        <f>1229.16+6884.48</f>
        <v>8113.6399999999994</v>
      </c>
      <c r="F10" s="19">
        <f>E10+март!F9</f>
        <v>27179.57</v>
      </c>
      <c r="G10" s="19">
        <f t="shared" si="0"/>
        <v>-2216.2900000000009</v>
      </c>
      <c r="H10" s="20">
        <f t="shared" si="0"/>
        <v>-8866.68</v>
      </c>
      <c r="I10" s="9"/>
      <c r="J10" s="20">
        <f>I10+март!J9</f>
        <v>0</v>
      </c>
      <c r="K10" s="8"/>
      <c r="L10" s="19">
        <f>K10+март!L9</f>
        <v>0</v>
      </c>
      <c r="M10" s="12"/>
    </row>
    <row r="11" spans="1:13">
      <c r="A11" s="1">
        <f t="shared" si="1"/>
        <v>8</v>
      </c>
      <c r="B11" s="39" t="str">
        <f>март!B10</f>
        <v>Канализирование х.воды</v>
      </c>
      <c r="C11" s="8">
        <f>0</f>
        <v>0</v>
      </c>
      <c r="D11" s="19">
        <f>C11+март!D10</f>
        <v>0</v>
      </c>
      <c r="E11" s="8">
        <f>0</f>
        <v>0</v>
      </c>
      <c r="F11" s="19">
        <f>E11+март!F10</f>
        <v>0</v>
      </c>
      <c r="G11" s="19">
        <f t="shared" si="0"/>
        <v>0</v>
      </c>
      <c r="H11" s="20">
        <f t="shared" si="0"/>
        <v>0</v>
      </c>
      <c r="I11" s="9"/>
      <c r="J11" s="20">
        <f>I11+март!J10</f>
        <v>0</v>
      </c>
      <c r="K11" s="8"/>
      <c r="L11" s="19">
        <f>K11+март!L10</f>
        <v>0</v>
      </c>
    </row>
    <row r="12" spans="1:13">
      <c r="A12" s="1">
        <f t="shared" si="1"/>
        <v>9</v>
      </c>
      <c r="B12" s="39" t="str">
        <f>март!B11</f>
        <v>Канализирование г.воды</v>
      </c>
      <c r="C12" s="8">
        <f>0</f>
        <v>0</v>
      </c>
      <c r="D12" s="19">
        <f>C12+март!D11</f>
        <v>0</v>
      </c>
      <c r="E12" s="8">
        <f>0</f>
        <v>0</v>
      </c>
      <c r="F12" s="19">
        <f>E12+март!F11</f>
        <v>0</v>
      </c>
      <c r="G12" s="19">
        <f t="shared" si="0"/>
        <v>0</v>
      </c>
      <c r="H12" s="20">
        <f t="shared" si="0"/>
        <v>0</v>
      </c>
      <c r="I12" s="9"/>
      <c r="J12" s="20">
        <f>I12+март!J11</f>
        <v>0</v>
      </c>
      <c r="K12" s="8"/>
      <c r="L12" s="19">
        <f>K12+март!L11</f>
        <v>0</v>
      </c>
    </row>
    <row r="13" spans="1:13">
      <c r="A13" s="1">
        <f t="shared" si="1"/>
        <v>10</v>
      </c>
      <c r="B13" s="39" t="str">
        <f>март!B12</f>
        <v>Тек.рем.общ.имущ.дома</v>
      </c>
      <c r="C13" s="8">
        <f>1789.09+8834.69</f>
        <v>10623.78</v>
      </c>
      <c r="D13" s="19">
        <f>C13+март!D12</f>
        <v>42495.119999999995</v>
      </c>
      <c r="E13" s="9">
        <f>756.93+8764.72</f>
        <v>9521.65</v>
      </c>
      <c r="F13" s="19">
        <f>E13+март!F12</f>
        <v>37373.54</v>
      </c>
      <c r="G13" s="19">
        <f t="shared" si="0"/>
        <v>-1102.130000000001</v>
      </c>
      <c r="H13" s="20">
        <f t="shared" si="0"/>
        <v>-5121.5799999999945</v>
      </c>
      <c r="I13" s="9"/>
      <c r="J13" s="20">
        <f>I13+март!J12</f>
        <v>0</v>
      </c>
      <c r="K13" s="8"/>
      <c r="L13" s="19">
        <f>K13+март!L12</f>
        <v>0</v>
      </c>
    </row>
    <row r="14" spans="1:13">
      <c r="A14" s="1">
        <f t="shared" si="1"/>
        <v>11</v>
      </c>
      <c r="B14" s="39" t="str">
        <f>март!B13</f>
        <v>Сод.и тек.рем.в/дом.газосн</v>
      </c>
      <c r="C14" s="8">
        <f>184.86+951.95</f>
        <v>1136.81</v>
      </c>
      <c r="D14" s="19">
        <f>C14+март!D13</f>
        <v>4547.24</v>
      </c>
      <c r="E14" s="9">
        <f>76.06+959.57</f>
        <v>1035.6300000000001</v>
      </c>
      <c r="F14" s="19">
        <f>E14+март!F13</f>
        <v>3989.01</v>
      </c>
      <c r="G14" s="19">
        <f t="shared" si="0"/>
        <v>-101.17999999999984</v>
      </c>
      <c r="H14" s="20">
        <f t="shared" si="0"/>
        <v>-558.22999999999956</v>
      </c>
      <c r="I14" s="9"/>
      <c r="J14" s="20">
        <f>I14+март!J13</f>
        <v>0</v>
      </c>
      <c r="K14" s="8"/>
      <c r="L14" s="19">
        <f>K14+март!L13</f>
        <v>0</v>
      </c>
    </row>
    <row r="15" spans="1:13">
      <c r="A15" s="1">
        <f t="shared" si="1"/>
        <v>12</v>
      </c>
      <c r="B15" s="39" t="str">
        <f>март!B14</f>
        <v>Управление многокв.домом</v>
      </c>
      <c r="C15" s="8">
        <f>740.42+3656.23</f>
        <v>4396.6499999999996</v>
      </c>
      <c r="D15" s="19">
        <f>C15+март!D14</f>
        <v>17586.599999999999</v>
      </c>
      <c r="E15" s="9">
        <f>313.26+3604.87</f>
        <v>3918.13</v>
      </c>
      <c r="F15" s="19">
        <f>E15+март!F14</f>
        <v>15439.32</v>
      </c>
      <c r="G15" s="19">
        <f t="shared" si="0"/>
        <v>-478.51999999999953</v>
      </c>
      <c r="H15" s="20">
        <f t="shared" si="0"/>
        <v>-2147.2799999999988</v>
      </c>
      <c r="I15" s="9"/>
      <c r="J15" s="20">
        <f>I15+март!J14</f>
        <v>0</v>
      </c>
      <c r="K15" s="8"/>
      <c r="L15" s="19">
        <f>K15+март!L14</f>
        <v>0</v>
      </c>
    </row>
    <row r="16" spans="1:13">
      <c r="A16" s="1">
        <f t="shared" si="1"/>
        <v>13</v>
      </c>
      <c r="B16" s="39" t="str">
        <f>март!B15</f>
        <v>Водоотведение(кв)</v>
      </c>
      <c r="C16" s="8">
        <f>3241.51+16258.56</f>
        <v>19500.07</v>
      </c>
      <c r="D16" s="19">
        <f>C16+март!D15</f>
        <v>64478.37</v>
      </c>
      <c r="E16" s="9">
        <f>2153.98+12285.39</f>
        <v>14439.369999999999</v>
      </c>
      <c r="F16" s="19">
        <f>E16+март!F15</f>
        <v>47212.89</v>
      </c>
      <c r="G16" s="19">
        <f t="shared" si="0"/>
        <v>-5060.7000000000007</v>
      </c>
      <c r="H16" s="20">
        <f t="shared" si="0"/>
        <v>-17265.480000000003</v>
      </c>
      <c r="I16" s="9"/>
      <c r="J16" s="20">
        <f>I16+март!J15</f>
        <v>0</v>
      </c>
      <c r="K16" s="8"/>
      <c r="L16" s="19">
        <f>K16+март!L15</f>
        <v>0</v>
      </c>
    </row>
    <row r="17" spans="1:12">
      <c r="A17" s="1">
        <f t="shared" si="1"/>
        <v>14</v>
      </c>
      <c r="B17" s="39" t="str">
        <f>март!B16</f>
        <v>Эксплуатация общед.ПУ</v>
      </c>
      <c r="C17" s="8">
        <f>190.17+938.99</f>
        <v>1129.1600000000001</v>
      </c>
      <c r="D17" s="19">
        <f>C17+март!D16</f>
        <v>4516.6400000000003</v>
      </c>
      <c r="E17" s="9">
        <f>80.45+932.62</f>
        <v>1013.07</v>
      </c>
      <c r="F17" s="19">
        <f>E17+март!F16</f>
        <v>3973.8500000000004</v>
      </c>
      <c r="G17" s="19">
        <f t="shared" si="0"/>
        <v>-116.09000000000003</v>
      </c>
      <c r="H17" s="20">
        <f t="shared" si="0"/>
        <v>-542.79</v>
      </c>
      <c r="I17" s="9"/>
      <c r="J17" s="20">
        <f>I17+март!J16</f>
        <v>0</v>
      </c>
      <c r="K17" s="8"/>
      <c r="L17" s="19">
        <f>K17+март!L16</f>
        <v>0</v>
      </c>
    </row>
    <row r="18" spans="1:12">
      <c r="A18" s="1">
        <f t="shared" si="1"/>
        <v>15</v>
      </c>
      <c r="B18" s="39" t="str">
        <f>март!B17</f>
        <v>Хол. водоснаб(о/д нужды)</v>
      </c>
      <c r="C18" s="8">
        <f>86.79+427.79</f>
        <v>514.58000000000004</v>
      </c>
      <c r="D18" s="19">
        <f>C18+март!D17</f>
        <v>2058.3200000000002</v>
      </c>
      <c r="E18" s="9">
        <f>36.57+419.95</f>
        <v>456.52</v>
      </c>
      <c r="F18" s="19">
        <f>E18+март!F17</f>
        <v>1813.8400000000001</v>
      </c>
      <c r="G18" s="19">
        <f t="shared" si="0"/>
        <v>-58.060000000000059</v>
      </c>
      <c r="H18" s="20">
        <f t="shared" si="0"/>
        <v>-244.48000000000002</v>
      </c>
      <c r="I18" s="9"/>
      <c r="J18" s="20">
        <f>I18+март!J17</f>
        <v>0</v>
      </c>
      <c r="K18" s="8"/>
      <c r="L18" s="19">
        <f>K18+март!L17</f>
        <v>0</v>
      </c>
    </row>
    <row r="19" spans="1:12">
      <c r="A19" s="1">
        <f t="shared" si="1"/>
        <v>16</v>
      </c>
      <c r="B19" s="39" t="str">
        <f>март!B18</f>
        <v>Водоотведение(о/д нужды)</v>
      </c>
      <c r="C19" s="8">
        <f>0</f>
        <v>0</v>
      </c>
      <c r="D19" s="19">
        <f>C19+март!D18</f>
        <v>0</v>
      </c>
      <c r="E19" s="8">
        <f>0</f>
        <v>0</v>
      </c>
      <c r="F19" s="19">
        <f>E19+март!F18</f>
        <v>0</v>
      </c>
      <c r="G19" s="19">
        <f t="shared" si="0"/>
        <v>0</v>
      </c>
      <c r="H19" s="20">
        <f t="shared" si="0"/>
        <v>0</v>
      </c>
      <c r="I19" s="9"/>
      <c r="J19" s="20">
        <f>I19+март!J18</f>
        <v>0</v>
      </c>
      <c r="K19" s="8"/>
      <c r="L19" s="19">
        <f>K19+март!L18</f>
        <v>0</v>
      </c>
    </row>
    <row r="20" spans="1:12" ht="15.75" customHeight="1">
      <c r="A20" s="1">
        <f t="shared" si="1"/>
        <v>17</v>
      </c>
      <c r="B20" s="39" t="str">
        <f>март!B19</f>
        <v>Отопление(о/д нужды)</v>
      </c>
      <c r="C20" s="8">
        <f>0</f>
        <v>0</v>
      </c>
      <c r="D20" s="19">
        <f>C20+март!D19</f>
        <v>0</v>
      </c>
      <c r="E20" s="8">
        <f>0</f>
        <v>0</v>
      </c>
      <c r="F20" s="19">
        <f>E20+март!F19</f>
        <v>0</v>
      </c>
      <c r="G20" s="19">
        <f t="shared" si="0"/>
        <v>0</v>
      </c>
      <c r="H20" s="20">
        <f t="shared" si="0"/>
        <v>0</v>
      </c>
      <c r="I20" s="9"/>
      <c r="J20" s="20">
        <f>I20+март!J19</f>
        <v>0</v>
      </c>
      <c r="K20" s="9"/>
      <c r="L20" s="19">
        <f>K20+март!L19</f>
        <v>0</v>
      </c>
    </row>
    <row r="21" spans="1:12" ht="12" customHeight="1">
      <c r="A21" s="1">
        <f t="shared" si="1"/>
        <v>18</v>
      </c>
      <c r="B21" s="39" t="str">
        <f>март!B20</f>
        <v>Электроснабжение(общед.нужды)</v>
      </c>
      <c r="C21" s="8">
        <f>1710.79+6212.92</f>
        <v>7923.71</v>
      </c>
      <c r="D21" s="19">
        <f>C21+март!D20</f>
        <v>41888.729999999996</v>
      </c>
      <c r="E21" s="9">
        <f>1022.48+7639.77</f>
        <v>8662.25</v>
      </c>
      <c r="F21" s="19">
        <f>E21+март!F20</f>
        <v>38865.339999999997</v>
      </c>
      <c r="G21" s="19">
        <f t="shared" si="0"/>
        <v>738.54</v>
      </c>
      <c r="H21" s="20">
        <f t="shared" si="0"/>
        <v>-3023.3899999999994</v>
      </c>
      <c r="I21" s="9"/>
      <c r="J21" s="20">
        <f>I21+март!J20</f>
        <v>0</v>
      </c>
      <c r="K21" s="8"/>
      <c r="L21" s="19">
        <f>K21+март!L20</f>
        <v>0</v>
      </c>
    </row>
    <row r="22" spans="1:12">
      <c r="A22" s="1">
        <f t="shared" si="1"/>
        <v>19</v>
      </c>
      <c r="B22" s="39" t="str">
        <f>март!B21</f>
        <v>Капитальный ремонт</v>
      </c>
      <c r="C22" s="8">
        <f>0</f>
        <v>0</v>
      </c>
      <c r="D22" s="19">
        <f>C22+март!D21</f>
        <v>0</v>
      </c>
      <c r="E22" s="8">
        <f>0</f>
        <v>0</v>
      </c>
      <c r="F22" s="19">
        <f>E22+март!F21</f>
        <v>0</v>
      </c>
      <c r="G22" s="19">
        <f t="shared" si="0"/>
        <v>0</v>
      </c>
      <c r="H22" s="20">
        <f t="shared" si="0"/>
        <v>0</v>
      </c>
      <c r="I22" s="9"/>
      <c r="J22" s="20">
        <f>I22+март!J21</f>
        <v>0</v>
      </c>
      <c r="K22" s="8"/>
      <c r="L22" s="19">
        <f>K22+март!L21</f>
        <v>0</v>
      </c>
    </row>
    <row r="23" spans="1:12">
      <c r="A23" s="1">
        <f t="shared" si="1"/>
        <v>20</v>
      </c>
      <c r="B23" s="39" t="str">
        <f>март!B22</f>
        <v>Гор. Водоснабж. (о/д нужды)</v>
      </c>
      <c r="C23" s="8">
        <f>192.39+954.94+1950.64</f>
        <v>3097.9700000000003</v>
      </c>
      <c r="D23" s="19">
        <f>C23+март!D22</f>
        <v>6539.96</v>
      </c>
      <c r="E23" s="9">
        <f>82.12+997.47+2388.05</f>
        <v>3467.6400000000003</v>
      </c>
      <c r="F23" s="19">
        <f>E23+март!F22</f>
        <v>6511.22</v>
      </c>
      <c r="G23" s="19">
        <f t="shared" si="0"/>
        <v>369.67000000000007</v>
      </c>
      <c r="H23" s="20">
        <f t="shared" si="0"/>
        <v>-28.739999999999782</v>
      </c>
      <c r="I23" s="9"/>
      <c r="J23" s="20">
        <f>I23+март!J22</f>
        <v>0</v>
      </c>
      <c r="K23" s="8"/>
      <c r="L23" s="19">
        <f>K23+март!L22</f>
        <v>0</v>
      </c>
    </row>
    <row r="24" spans="1:12">
      <c r="A24" s="17"/>
      <c r="B24" s="18" t="s">
        <v>12</v>
      </c>
      <c r="C24" s="30">
        <f t="shared" ref="C24:L24" si="2">SUM(C4:C23)</f>
        <v>198870.58</v>
      </c>
      <c r="D24" s="19">
        <f t="shared" si="2"/>
        <v>798615.05999999994</v>
      </c>
      <c r="E24" s="31">
        <f t="shared" si="2"/>
        <v>179850.88</v>
      </c>
      <c r="F24" s="19">
        <f t="shared" si="2"/>
        <v>652253.73999999987</v>
      </c>
      <c r="G24" s="19">
        <f t="shared" si="2"/>
        <v>-19019.700000000012</v>
      </c>
      <c r="H24" s="20">
        <f t="shared" si="2"/>
        <v>-146361.32</v>
      </c>
      <c r="I24" s="20">
        <f t="shared" si="2"/>
        <v>0</v>
      </c>
      <c r="J24" s="20">
        <f t="shared" si="2"/>
        <v>0</v>
      </c>
      <c r="K24" s="19">
        <f t="shared" si="2"/>
        <v>0</v>
      </c>
      <c r="L24" s="19">
        <f t="shared" si="2"/>
        <v>0</v>
      </c>
    </row>
    <row r="25" spans="1:12">
      <c r="I25" s="12"/>
    </row>
    <row r="26" spans="1:12">
      <c r="B26" s="40" t="s">
        <v>35</v>
      </c>
      <c r="C26" s="9">
        <f t="shared" ref="C26:H26" si="3">C4+C8+C13+C14+C15+C17</f>
        <v>40775.01</v>
      </c>
      <c r="D26" s="9">
        <f t="shared" si="3"/>
        <v>163100.04</v>
      </c>
      <c r="E26" s="9">
        <f t="shared" si="3"/>
        <v>36529.15</v>
      </c>
      <c r="F26" s="9">
        <f t="shared" si="3"/>
        <v>143370.82999999999</v>
      </c>
      <c r="G26" s="9">
        <f t="shared" si="3"/>
        <v>-4245.8600000000024</v>
      </c>
      <c r="H26" s="9">
        <f t="shared" si="3"/>
        <v>-19729.209999999988</v>
      </c>
    </row>
    <row r="27" spans="1:12">
      <c r="B27" s="1" t="s">
        <v>37</v>
      </c>
      <c r="C27" s="9">
        <f>C10+C11+C12+C16+C18+C19</f>
        <v>30344.58</v>
      </c>
      <c r="D27" s="9">
        <f t="shared" ref="D27:J27" si="4">D10+D11+D12+D16+D18+D19</f>
        <v>102582.94</v>
      </c>
      <c r="E27" s="9">
        <f t="shared" si="4"/>
        <v>23009.53</v>
      </c>
      <c r="F27" s="9">
        <f t="shared" si="4"/>
        <v>76206.299999999988</v>
      </c>
      <c r="G27" s="9">
        <f t="shared" si="4"/>
        <v>-7335.050000000002</v>
      </c>
      <c r="H27" s="9">
        <f t="shared" si="4"/>
        <v>-26376.640000000003</v>
      </c>
      <c r="I27" s="9">
        <f t="shared" si="4"/>
        <v>0</v>
      </c>
      <c r="J27" s="9">
        <f t="shared" si="4"/>
        <v>0</v>
      </c>
    </row>
    <row r="28" spans="1:12">
      <c r="B28" s="1" t="s">
        <v>38</v>
      </c>
      <c r="C28" s="9">
        <f>C9+C21</f>
        <v>34299.47</v>
      </c>
      <c r="D28" s="9">
        <f t="shared" ref="D28:J28" si="5">D9+D21</f>
        <v>146272.88999999998</v>
      </c>
      <c r="E28" s="9">
        <f t="shared" si="5"/>
        <v>29484.730000000003</v>
      </c>
      <c r="F28" s="9">
        <f t="shared" si="5"/>
        <v>124708.43</v>
      </c>
      <c r="G28" s="9">
        <f t="shared" si="5"/>
        <v>-4814.7399999999952</v>
      </c>
      <c r="H28" s="9">
        <f t="shared" si="5"/>
        <v>-21564.459999999992</v>
      </c>
      <c r="I28" s="9">
        <f t="shared" si="5"/>
        <v>0</v>
      </c>
      <c r="J28" s="9">
        <f t="shared" si="5"/>
        <v>0</v>
      </c>
    </row>
    <row r="29" spans="1:12">
      <c r="B29" s="1" t="s">
        <v>39</v>
      </c>
      <c r="C29" s="9">
        <f>C5+C6+C20+C23</f>
        <v>93451.520000000019</v>
      </c>
      <c r="D29" s="9">
        <f t="shared" ref="D29:J29" si="6">D5+D6+D20+D23</f>
        <v>386659.19000000006</v>
      </c>
      <c r="E29" s="9">
        <f t="shared" si="6"/>
        <v>90827.47</v>
      </c>
      <c r="F29" s="9">
        <f t="shared" si="6"/>
        <v>307968.17999999993</v>
      </c>
      <c r="G29" s="9">
        <f t="shared" si="6"/>
        <v>-2624.050000000012</v>
      </c>
      <c r="H29" s="9">
        <f t="shared" si="6"/>
        <v>-78691.010000000053</v>
      </c>
      <c r="I29" s="9">
        <f t="shared" si="6"/>
        <v>0</v>
      </c>
      <c r="J29" s="9">
        <f t="shared" si="6"/>
        <v>0</v>
      </c>
    </row>
    <row r="32" spans="1:12">
      <c r="C32">
        <f>32940.28+165930.3</f>
        <v>198870.58</v>
      </c>
      <c r="E32">
        <f>18335.41+161515.47</f>
        <v>179850.88</v>
      </c>
    </row>
    <row r="37" spans="8:9">
      <c r="H37" s="11"/>
      <c r="I37" s="11"/>
    </row>
  </sheetData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B1" sqref="B1:C1"/>
    </sheetView>
  </sheetViews>
  <sheetFormatPr defaultRowHeight="12.75"/>
  <cols>
    <col min="1" max="1" width="4" customWidth="1"/>
    <col min="2" max="2" width="34.85546875" customWidth="1"/>
    <col min="3" max="3" width="13.42578125" customWidth="1"/>
    <col min="4" max="4" width="11.28515625" customWidth="1"/>
    <col min="5" max="5" width="16.7109375" customWidth="1"/>
    <col min="6" max="6" width="12" customWidth="1"/>
    <col min="7" max="7" width="11.42578125" customWidth="1"/>
    <col min="8" max="8" width="11.140625" customWidth="1"/>
    <col min="9" max="9" width="9.42578125" bestFit="1" customWidth="1"/>
    <col min="10" max="11" width="10.85546875" customWidth="1"/>
    <col min="12" max="12" width="11.7109375" customWidth="1"/>
    <col min="13" max="13" width="10.7109375" bestFit="1" customWidth="1"/>
  </cols>
  <sheetData>
    <row r="1" spans="1:13" ht="27" customHeight="1">
      <c r="B1" s="11" t="s">
        <v>20</v>
      </c>
      <c r="C1" s="69" t="s">
        <v>48</v>
      </c>
      <c r="D1" s="69"/>
      <c r="E1" s="69"/>
      <c r="F1" s="69"/>
      <c r="G1" s="69"/>
      <c r="H1" s="69"/>
      <c r="I1" s="69"/>
      <c r="J1" s="69"/>
      <c r="K1" s="69"/>
    </row>
    <row r="2" spans="1:13" s="29" customFormat="1" ht="33.75" customHeight="1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>
      <c r="A3" s="1">
        <v>1</v>
      </c>
      <c r="B3" s="70" t="str">
        <f>апрель!B4</f>
        <v>Содержание общ.имущ.дома</v>
      </c>
      <c r="C3" s="8">
        <f>3428.39+16929.52</f>
        <v>20357.91</v>
      </c>
      <c r="D3" s="19">
        <f>C3+апрель!D4</f>
        <v>101789.55</v>
      </c>
      <c r="E3" s="9">
        <f>1995.3+20576.61</f>
        <v>22571.91</v>
      </c>
      <c r="F3" s="19">
        <f>E3+апрель!F4</f>
        <v>94161.82</v>
      </c>
      <c r="G3" s="19">
        <f>E3-C3</f>
        <v>2214</v>
      </c>
      <c r="H3" s="20">
        <f>F3-D3</f>
        <v>-7627.7299999999959</v>
      </c>
      <c r="I3" s="9"/>
      <c r="J3" s="20">
        <f>I3+апрель!J4</f>
        <v>0</v>
      </c>
      <c r="K3" s="8"/>
      <c r="L3" s="19">
        <f>K3+апрель!L4</f>
        <v>0</v>
      </c>
    </row>
    <row r="4" spans="1:13">
      <c r="A4" s="1">
        <f>A3+1</f>
        <v>2</v>
      </c>
      <c r="B4" s="70" t="str">
        <f>апрель!B5</f>
        <v>Отопление</v>
      </c>
      <c r="C4" s="8">
        <f>2667.52+13172.32</f>
        <v>15839.84</v>
      </c>
      <c r="D4" s="19">
        <f>C4+апрель!D5</f>
        <v>293669.12000000005</v>
      </c>
      <c r="E4" s="9">
        <f>7924.73+58718.44</f>
        <v>66643.17</v>
      </c>
      <c r="F4" s="19">
        <f>E4+апрель!F5</f>
        <v>296265.53999999998</v>
      </c>
      <c r="G4" s="19">
        <f t="shared" ref="G4:H22" si="0">E4-C4</f>
        <v>50803.33</v>
      </c>
      <c r="H4" s="20">
        <f t="shared" si="0"/>
        <v>2596.4199999999255</v>
      </c>
      <c r="I4" s="9"/>
      <c r="J4" s="20">
        <f>I4+апрель!J5</f>
        <v>0</v>
      </c>
      <c r="K4" s="8"/>
      <c r="L4" s="19">
        <f>K4+апрель!L5</f>
        <v>0</v>
      </c>
      <c r="M4" s="12">
        <f>L4-J4</f>
        <v>0</v>
      </c>
    </row>
    <row r="5" spans="1:13">
      <c r="A5" s="1">
        <f t="shared" ref="A5:A22" si="1">A4+1</f>
        <v>3</v>
      </c>
      <c r="B5" s="70" t="str">
        <f>апрель!B6</f>
        <v>Горячее водоснабжение</v>
      </c>
      <c r="C5" s="8">
        <f>4902.04+18340.08</f>
        <v>23242.120000000003</v>
      </c>
      <c r="D5" s="19">
        <f>C5+апрель!D6</f>
        <v>125532.07</v>
      </c>
      <c r="E5" s="9">
        <f>3659.6+30760.15</f>
        <v>34419.75</v>
      </c>
      <c r="F5" s="19">
        <f>E5+апрель!F6</f>
        <v>106254.34</v>
      </c>
      <c r="G5" s="19">
        <f t="shared" si="0"/>
        <v>11177.629999999997</v>
      </c>
      <c r="H5" s="20">
        <f t="shared" si="0"/>
        <v>-19277.73000000001</v>
      </c>
      <c r="I5" s="9"/>
      <c r="J5" s="20">
        <f>I5+апрель!J6</f>
        <v>0</v>
      </c>
      <c r="K5" s="8"/>
      <c r="L5" s="19">
        <f>K5+апрель!L6</f>
        <v>0</v>
      </c>
    </row>
    <row r="6" spans="1:13">
      <c r="A6" s="1">
        <f t="shared" si="1"/>
        <v>4</v>
      </c>
      <c r="B6" s="70" t="str">
        <f>апрель!B7</f>
        <v>Газ</v>
      </c>
      <c r="C6" s="8">
        <v>0</v>
      </c>
      <c r="D6" s="19">
        <f>C6+апрель!D7</f>
        <v>0</v>
      </c>
      <c r="E6" s="9">
        <v>0</v>
      </c>
      <c r="F6" s="19">
        <f>E6+апрель!F7</f>
        <v>0</v>
      </c>
      <c r="G6" s="19">
        <f t="shared" si="0"/>
        <v>0</v>
      </c>
      <c r="H6" s="20">
        <f t="shared" si="0"/>
        <v>0</v>
      </c>
      <c r="I6" s="9"/>
      <c r="J6" s="20">
        <f>I6+апрель!J7</f>
        <v>0</v>
      </c>
      <c r="K6" s="8"/>
      <c r="L6" s="19">
        <f>K6+апрель!L7</f>
        <v>0</v>
      </c>
    </row>
    <row r="7" spans="1:13" ht="12" customHeight="1">
      <c r="A7" s="1">
        <f t="shared" si="1"/>
        <v>5</v>
      </c>
      <c r="B7" s="70" t="str">
        <f>апрель!B8</f>
        <v>Уборка и сан.очистка зем.уч.</v>
      </c>
      <c r="C7" s="8">
        <f>527.23+2603.47</f>
        <v>3130.7</v>
      </c>
      <c r="D7" s="19">
        <f>C7+апрель!D8</f>
        <v>15653.5</v>
      </c>
      <c r="E7" s="9">
        <f>306.85+3154.55</f>
        <v>3461.4</v>
      </c>
      <c r="F7" s="19">
        <f>E7+апрель!F8</f>
        <v>14466.6</v>
      </c>
      <c r="G7" s="19">
        <f t="shared" si="0"/>
        <v>330.70000000000027</v>
      </c>
      <c r="H7" s="20">
        <f t="shared" si="0"/>
        <v>-1186.8999999999996</v>
      </c>
      <c r="I7" s="9"/>
      <c r="J7" s="20">
        <f>I7+апрель!J8</f>
        <v>0</v>
      </c>
      <c r="K7" s="8"/>
      <c r="L7" s="19">
        <f>K7+апрель!L8</f>
        <v>0</v>
      </c>
    </row>
    <row r="8" spans="1:13" ht="17.25" customHeight="1">
      <c r="A8" s="1">
        <f t="shared" si="1"/>
        <v>6</v>
      </c>
      <c r="B8" s="70" t="str">
        <f>апрель!B9</f>
        <v>Электроснабжение(инд.потр)</v>
      </c>
      <c r="C8" s="8">
        <f>4681.8+21693.96</f>
        <v>26375.759999999998</v>
      </c>
      <c r="D8" s="19">
        <f>C8+апрель!D9</f>
        <v>130759.91999999998</v>
      </c>
      <c r="E8" s="9">
        <f>2518.59+29083.78</f>
        <v>31602.37</v>
      </c>
      <c r="F8" s="19">
        <f>E8+апрель!F9</f>
        <v>117445.45999999999</v>
      </c>
      <c r="G8" s="19">
        <f t="shared" si="0"/>
        <v>5226.6100000000006</v>
      </c>
      <c r="H8" s="20">
        <f t="shared" si="0"/>
        <v>-13314.459999999992</v>
      </c>
      <c r="I8" s="9"/>
      <c r="J8" s="20">
        <f>I8+апрель!J9</f>
        <v>0</v>
      </c>
      <c r="K8" s="8"/>
      <c r="L8" s="19">
        <f>K8+апрель!L9</f>
        <v>0</v>
      </c>
    </row>
    <row r="9" spans="1:13">
      <c r="A9" s="1">
        <f t="shared" si="1"/>
        <v>7</v>
      </c>
      <c r="B9" s="70" t="str">
        <f>апрель!B10</f>
        <v>Холодная вода</v>
      </c>
      <c r="C9" s="8">
        <f>1207.5+6497.58</f>
        <v>7705.08</v>
      </c>
      <c r="D9" s="19">
        <f>C9+апрель!D10</f>
        <v>43751.33</v>
      </c>
      <c r="E9" s="9">
        <f>1577.21+9368.32</f>
        <v>10945.529999999999</v>
      </c>
      <c r="F9" s="19">
        <f>E9+апрель!F10</f>
        <v>38125.1</v>
      </c>
      <c r="G9" s="19">
        <f t="shared" si="0"/>
        <v>3240.4499999999989</v>
      </c>
      <c r="H9" s="20">
        <f t="shared" si="0"/>
        <v>-5626.2300000000032</v>
      </c>
      <c r="I9" s="9"/>
      <c r="J9" s="20">
        <f>I9+апрель!J10</f>
        <v>0</v>
      </c>
      <c r="K9" s="8"/>
      <c r="L9" s="19">
        <f>K9+апрель!L10</f>
        <v>0</v>
      </c>
    </row>
    <row r="10" spans="1:13">
      <c r="A10" s="1">
        <f t="shared" si="1"/>
        <v>8</v>
      </c>
      <c r="B10" s="70" t="str">
        <f>апрель!B11</f>
        <v>Канализирование х.воды</v>
      </c>
      <c r="C10" s="8">
        <v>0</v>
      </c>
      <c r="D10" s="19">
        <f>C10+апрель!D11</f>
        <v>0</v>
      </c>
      <c r="E10" s="9">
        <v>0</v>
      </c>
      <c r="F10" s="19">
        <f>E10+апрель!F11</f>
        <v>0</v>
      </c>
      <c r="G10" s="19">
        <f t="shared" si="0"/>
        <v>0</v>
      </c>
      <c r="H10" s="20">
        <f t="shared" si="0"/>
        <v>0</v>
      </c>
      <c r="I10" s="9"/>
      <c r="J10" s="20">
        <f>I10+апрель!J11</f>
        <v>0</v>
      </c>
      <c r="K10" s="8"/>
      <c r="L10" s="19">
        <f>K10+апрель!L11</f>
        <v>0</v>
      </c>
    </row>
    <row r="11" spans="1:13">
      <c r="A11" s="1">
        <f t="shared" si="1"/>
        <v>9</v>
      </c>
      <c r="B11" s="70" t="str">
        <f>апрель!B12</f>
        <v>Канализирование г.воды</v>
      </c>
      <c r="C11" s="8">
        <v>0</v>
      </c>
      <c r="D11" s="19">
        <f>C11+апрель!D12</f>
        <v>0</v>
      </c>
      <c r="E11" s="9">
        <v>0</v>
      </c>
      <c r="F11" s="19">
        <f>E11+апрель!F12</f>
        <v>0</v>
      </c>
      <c r="G11" s="19">
        <f t="shared" si="0"/>
        <v>0</v>
      </c>
      <c r="H11" s="20">
        <f t="shared" si="0"/>
        <v>0</v>
      </c>
      <c r="I11" s="9"/>
      <c r="J11" s="20">
        <f>I11+апрель!J12</f>
        <v>0</v>
      </c>
      <c r="K11" s="8"/>
      <c r="L11" s="19">
        <f>K11+апрель!L12</f>
        <v>0</v>
      </c>
    </row>
    <row r="12" spans="1:13">
      <c r="A12" s="1">
        <f t="shared" si="1"/>
        <v>10</v>
      </c>
      <c r="B12" s="70" t="str">
        <f>апрель!B13</f>
        <v>Тек.рем.общ.имущ.дома</v>
      </c>
      <c r="C12" s="8">
        <f>1789.09+8834.69</f>
        <v>10623.78</v>
      </c>
      <c r="D12" s="19">
        <f>C12+апрель!D13</f>
        <v>53118.899999999994</v>
      </c>
      <c r="E12" s="9">
        <f>1041.25+10833.35</f>
        <v>11874.6</v>
      </c>
      <c r="F12" s="19">
        <f>E12+апрель!F13</f>
        <v>49248.14</v>
      </c>
      <c r="G12" s="19">
        <f t="shared" si="0"/>
        <v>1250.8199999999997</v>
      </c>
      <c r="H12" s="20">
        <f t="shared" si="0"/>
        <v>-3870.7599999999948</v>
      </c>
      <c r="I12" s="9"/>
      <c r="J12" s="20">
        <f>I12+апрель!J13</f>
        <v>0</v>
      </c>
      <c r="K12" s="8"/>
      <c r="L12" s="19">
        <f>K12+апрель!L13</f>
        <v>0</v>
      </c>
    </row>
    <row r="13" spans="1:13" ht="13.5" customHeight="1">
      <c r="A13" s="1">
        <f t="shared" si="1"/>
        <v>11</v>
      </c>
      <c r="B13" s="70" t="str">
        <f>апрель!B14</f>
        <v>Сод.и тек.рем.в/дом.газосн</v>
      </c>
      <c r="C13" s="8">
        <f>184.86+951.95</f>
        <v>1136.81</v>
      </c>
      <c r="D13" s="19">
        <f>C13+апрель!D14</f>
        <v>5684.0499999999993</v>
      </c>
      <c r="E13" s="9">
        <f>114.02+1151.28</f>
        <v>1265.3</v>
      </c>
      <c r="F13" s="19">
        <f>E13+апрель!F14</f>
        <v>5254.31</v>
      </c>
      <c r="G13" s="19">
        <f t="shared" si="0"/>
        <v>128.49</v>
      </c>
      <c r="H13" s="20">
        <f t="shared" si="0"/>
        <v>-429.73999999999887</v>
      </c>
      <c r="I13" s="9"/>
      <c r="J13" s="20">
        <f>I13+апрель!J14</f>
        <v>0</v>
      </c>
      <c r="K13" s="8"/>
      <c r="L13" s="19">
        <f>K13+апрель!L14</f>
        <v>0</v>
      </c>
    </row>
    <row r="14" spans="1:13" ht="16.5" customHeight="1">
      <c r="A14" s="1">
        <f t="shared" si="1"/>
        <v>12</v>
      </c>
      <c r="B14" s="70" t="str">
        <f>апрель!B15</f>
        <v>Управление многокв.домом</v>
      </c>
      <c r="C14" s="8">
        <f>740.42+3656.23</f>
        <v>4396.6499999999996</v>
      </c>
      <c r="D14" s="19">
        <f>C14+апрель!D15</f>
        <v>21983.25</v>
      </c>
      <c r="E14" s="9">
        <f>430.92+4442.66</f>
        <v>4873.58</v>
      </c>
      <c r="F14" s="19">
        <f>E14+апрель!F15</f>
        <v>20312.900000000001</v>
      </c>
      <c r="G14" s="19">
        <f t="shared" si="0"/>
        <v>476.93000000000029</v>
      </c>
      <c r="H14" s="20">
        <f t="shared" si="0"/>
        <v>-1670.3499999999985</v>
      </c>
      <c r="I14" s="9"/>
      <c r="J14" s="20">
        <f>I14+апрель!J15</f>
        <v>0</v>
      </c>
      <c r="K14" s="8"/>
      <c r="L14" s="19">
        <f>K14+апрель!L15</f>
        <v>0</v>
      </c>
    </row>
    <row r="15" spans="1:13">
      <c r="A15" s="1">
        <f t="shared" si="1"/>
        <v>13</v>
      </c>
      <c r="B15" s="70" t="str">
        <f>апрель!B16</f>
        <v>Водоотведение(кв)</v>
      </c>
      <c r="C15" s="8">
        <f>2569.78+11594.35</f>
        <v>14164.130000000001</v>
      </c>
      <c r="D15" s="19">
        <f>C15+апрель!D16</f>
        <v>78642.5</v>
      </c>
      <c r="E15" s="9">
        <f>2594.22+17939.11</f>
        <v>20533.330000000002</v>
      </c>
      <c r="F15" s="19">
        <f>E15+апрель!F16</f>
        <v>67746.22</v>
      </c>
      <c r="G15" s="19">
        <f t="shared" si="0"/>
        <v>6369.2000000000007</v>
      </c>
      <c r="H15" s="20">
        <f t="shared" si="0"/>
        <v>-10896.279999999999</v>
      </c>
      <c r="I15" s="9"/>
      <c r="J15" s="20">
        <f>I15+апрель!J16</f>
        <v>0</v>
      </c>
      <c r="K15" s="8"/>
      <c r="L15" s="19">
        <f>K15+апрель!L16</f>
        <v>0</v>
      </c>
    </row>
    <row r="16" spans="1:13">
      <c r="A16" s="1">
        <f t="shared" si="1"/>
        <v>14</v>
      </c>
      <c r="B16" s="70" t="str">
        <f>апрель!B17</f>
        <v>Эксплуатация общед.ПУ</v>
      </c>
      <c r="C16" s="8">
        <f>190.17+938.99</f>
        <v>1129.1600000000001</v>
      </c>
      <c r="D16" s="19">
        <f>C16+апрель!D17</f>
        <v>5645.8</v>
      </c>
      <c r="E16" s="9">
        <f>110.68+1143.53</f>
        <v>1254.21</v>
      </c>
      <c r="F16" s="19">
        <f>E16+апрель!F17</f>
        <v>5228.0600000000004</v>
      </c>
      <c r="G16" s="19">
        <f t="shared" si="0"/>
        <v>125.04999999999995</v>
      </c>
      <c r="H16" s="20">
        <f t="shared" si="0"/>
        <v>-417.73999999999978</v>
      </c>
      <c r="I16" s="9"/>
      <c r="J16" s="20">
        <f>I16+апрель!J17</f>
        <v>0</v>
      </c>
      <c r="K16" s="8"/>
      <c r="L16" s="19">
        <f>K16+апрель!L17</f>
        <v>0</v>
      </c>
    </row>
    <row r="17" spans="1:12" ht="14.25" customHeight="1">
      <c r="A17" s="1">
        <f t="shared" si="1"/>
        <v>15</v>
      </c>
      <c r="B17" s="70" t="str">
        <f>апрель!B18</f>
        <v>Хол. водоснаб(о/д нужды)</v>
      </c>
      <c r="C17" s="8">
        <f>86.79+427.79</f>
        <v>514.58000000000004</v>
      </c>
      <c r="D17" s="19">
        <f>C17+апрель!D18</f>
        <v>2572.9</v>
      </c>
      <c r="E17" s="9">
        <f>50.56+523.66</f>
        <v>574.22</v>
      </c>
      <c r="F17" s="19">
        <f>E17+апрель!F18</f>
        <v>2388.0600000000004</v>
      </c>
      <c r="G17" s="19">
        <f t="shared" si="0"/>
        <v>59.639999999999986</v>
      </c>
      <c r="H17" s="20">
        <f t="shared" si="0"/>
        <v>-184.83999999999969</v>
      </c>
      <c r="I17" s="9"/>
      <c r="J17" s="20">
        <f>I17+апрель!J18</f>
        <v>0</v>
      </c>
      <c r="K17" s="8"/>
      <c r="L17" s="19">
        <f>K17+апрель!L18</f>
        <v>0</v>
      </c>
    </row>
    <row r="18" spans="1:12" ht="14.25" customHeight="1">
      <c r="A18" s="1">
        <f t="shared" si="1"/>
        <v>16</v>
      </c>
      <c r="B18" s="70" t="str">
        <f>апрель!B19</f>
        <v>Водоотведение(о/д нужды)</v>
      </c>
      <c r="C18" s="8">
        <v>0</v>
      </c>
      <c r="D18" s="19">
        <f>C18+апрель!D19</f>
        <v>0</v>
      </c>
      <c r="E18" s="9">
        <v>0</v>
      </c>
      <c r="F18" s="19">
        <f>E18+апрель!F19</f>
        <v>0</v>
      </c>
      <c r="G18" s="19">
        <f t="shared" si="0"/>
        <v>0</v>
      </c>
      <c r="H18" s="20">
        <f t="shared" si="0"/>
        <v>0</v>
      </c>
      <c r="I18" s="9"/>
      <c r="J18" s="20">
        <f>I18+апрель!J19</f>
        <v>0</v>
      </c>
      <c r="K18" s="8"/>
      <c r="L18" s="19">
        <f>K18+апрель!L19</f>
        <v>0</v>
      </c>
    </row>
    <row r="19" spans="1:12">
      <c r="A19" s="1">
        <f t="shared" si="1"/>
        <v>17</v>
      </c>
      <c r="B19" s="70" t="str">
        <f>апрель!B20</f>
        <v>Отопление(о/д нужды)</v>
      </c>
      <c r="C19" s="8">
        <v>0</v>
      </c>
      <c r="D19" s="19">
        <f>C19+апрель!D20</f>
        <v>0</v>
      </c>
      <c r="E19" s="9">
        <v>0</v>
      </c>
      <c r="F19" s="19">
        <f>E19+апрель!F20</f>
        <v>0</v>
      </c>
      <c r="G19" s="19">
        <f t="shared" si="0"/>
        <v>0</v>
      </c>
      <c r="H19" s="20">
        <f t="shared" si="0"/>
        <v>0</v>
      </c>
      <c r="I19" s="9"/>
      <c r="J19" s="20">
        <f>I19+апрель!J20</f>
        <v>0</v>
      </c>
      <c r="K19" s="9"/>
      <c r="L19" s="19">
        <f>K19+апрель!L20</f>
        <v>0</v>
      </c>
    </row>
    <row r="20" spans="1:12" ht="13.5" customHeight="1">
      <c r="A20" s="1">
        <f t="shared" si="1"/>
        <v>18</v>
      </c>
      <c r="B20" s="70" t="str">
        <f>апрель!B21</f>
        <v>Электроснабжение(общед.нужды)</v>
      </c>
      <c r="C20" s="8">
        <f>1635.53+5841.95</f>
        <v>7477.48</v>
      </c>
      <c r="D20" s="19">
        <f>C20+апрель!D21</f>
        <v>49366.209999999992</v>
      </c>
      <c r="E20" s="9">
        <f>1707.57+8224.74</f>
        <v>9932.31</v>
      </c>
      <c r="F20" s="19">
        <f>E20+апрель!F21</f>
        <v>48797.649999999994</v>
      </c>
      <c r="G20" s="19">
        <f t="shared" si="0"/>
        <v>2454.83</v>
      </c>
      <c r="H20" s="20">
        <f t="shared" si="0"/>
        <v>-568.55999999999767</v>
      </c>
      <c r="I20" s="9"/>
      <c r="J20" s="20">
        <f>I20+апрель!J21</f>
        <v>0</v>
      </c>
      <c r="K20" s="8"/>
      <c r="L20" s="19">
        <f>K20+апрель!L21</f>
        <v>0</v>
      </c>
    </row>
    <row r="21" spans="1:12">
      <c r="A21" s="1">
        <f t="shared" si="1"/>
        <v>19</v>
      </c>
      <c r="B21" s="70" t="str">
        <f>апрель!B22</f>
        <v>Капитальный ремонт</v>
      </c>
      <c r="C21" s="8">
        <v>0</v>
      </c>
      <c r="D21" s="19">
        <f>C21+апрель!D22</f>
        <v>0</v>
      </c>
      <c r="E21" s="9">
        <v>0</v>
      </c>
      <c r="F21" s="19">
        <f>E21+апрель!F22</f>
        <v>0</v>
      </c>
      <c r="G21" s="19">
        <f t="shared" si="0"/>
        <v>0</v>
      </c>
      <c r="H21" s="20">
        <f t="shared" si="0"/>
        <v>0</v>
      </c>
      <c r="I21" s="9"/>
      <c r="J21" s="20">
        <f>I21+апрель!J22</f>
        <v>0</v>
      </c>
      <c r="K21" s="8"/>
      <c r="L21" s="19">
        <f>K21+апрель!L22</f>
        <v>0</v>
      </c>
    </row>
    <row r="22" spans="1:12">
      <c r="A22" s="1">
        <f t="shared" si="1"/>
        <v>20</v>
      </c>
      <c r="B22" s="70" t="str">
        <f>апрель!B23</f>
        <v>Гор. Водоснабж. (о/д нужды)</v>
      </c>
      <c r="C22" s="8">
        <f>192.39+954.94+1950.64</f>
        <v>3097.9700000000003</v>
      </c>
      <c r="D22" s="19">
        <f>C22+апрель!D23</f>
        <v>9637.93</v>
      </c>
      <c r="E22" s="61">
        <f>112.15+1234.45+2315.93</f>
        <v>3662.5299999999997</v>
      </c>
      <c r="F22" s="19">
        <f>E22+апрель!F23</f>
        <v>10173.75</v>
      </c>
      <c r="G22" s="19">
        <f t="shared" si="0"/>
        <v>564.55999999999949</v>
      </c>
      <c r="H22" s="20">
        <f t="shared" si="0"/>
        <v>535.81999999999971</v>
      </c>
      <c r="I22" s="9"/>
      <c r="J22" s="20">
        <f>I22+апрель!J23</f>
        <v>0</v>
      </c>
      <c r="K22" s="8"/>
      <c r="L22" s="19">
        <f>K22+апрель!L23</f>
        <v>0</v>
      </c>
    </row>
    <row r="23" spans="1:12">
      <c r="A23" s="17"/>
      <c r="B23" s="32" t="s">
        <v>12</v>
      </c>
      <c r="C23" s="30">
        <f t="shared" ref="C23:L23" si="2">SUM(C3:C22)</f>
        <v>139191.97</v>
      </c>
      <c r="D23" s="19">
        <f t="shared" si="2"/>
        <v>937807.03</v>
      </c>
      <c r="E23" s="31">
        <f t="shared" si="2"/>
        <v>223614.21</v>
      </c>
      <c r="F23" s="19">
        <f t="shared" si="2"/>
        <v>875867.95000000007</v>
      </c>
      <c r="G23" s="19">
        <f t="shared" si="2"/>
        <v>84422.239999999991</v>
      </c>
      <c r="H23" s="20">
        <f t="shared" si="2"/>
        <v>-61939.08000000006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4" spans="1:12" ht="20.25" customHeight="1"/>
    <row r="25" spans="1:12" ht="15.75" customHeight="1">
      <c r="B25" s="40" t="s">
        <v>35</v>
      </c>
      <c r="C25" s="9">
        <f t="shared" ref="C25:H25" si="3">C3+C7+C12+C13+C14+C16</f>
        <v>40775.01</v>
      </c>
      <c r="D25" s="9">
        <f t="shared" si="3"/>
        <v>203875.05</v>
      </c>
      <c r="E25" s="9">
        <f t="shared" si="3"/>
        <v>45301.000000000007</v>
      </c>
      <c r="F25" s="9">
        <f t="shared" si="3"/>
        <v>188671.83</v>
      </c>
      <c r="G25" s="9">
        <f t="shared" si="3"/>
        <v>4525.9900000000007</v>
      </c>
      <c r="H25" s="9">
        <f t="shared" si="3"/>
        <v>-15203.219999999988</v>
      </c>
    </row>
    <row r="26" spans="1:12" ht="17.25" customHeight="1">
      <c r="B26" s="1" t="s">
        <v>37</v>
      </c>
      <c r="C26" s="9">
        <f>C9+C10+C11+C15+C17+C18</f>
        <v>22383.79</v>
      </c>
      <c r="D26" s="9">
        <f t="shared" ref="D26:J26" si="4">D9+D10+D11+D15+D17+D18</f>
        <v>124966.73</v>
      </c>
      <c r="E26" s="9">
        <f t="shared" si="4"/>
        <v>32053.08</v>
      </c>
      <c r="F26" s="9">
        <f t="shared" si="4"/>
        <v>108259.38</v>
      </c>
      <c r="G26" s="9">
        <f t="shared" si="4"/>
        <v>9669.2899999999991</v>
      </c>
      <c r="H26" s="9">
        <f t="shared" si="4"/>
        <v>-16707.350000000002</v>
      </c>
      <c r="I26" s="9">
        <f t="shared" si="4"/>
        <v>0</v>
      </c>
      <c r="J26" s="9">
        <f t="shared" si="4"/>
        <v>0</v>
      </c>
    </row>
    <row r="27" spans="1:12">
      <c r="B27" s="1" t="s">
        <v>38</v>
      </c>
      <c r="C27" s="9">
        <f>C8+C20</f>
        <v>33853.24</v>
      </c>
      <c r="D27" s="9">
        <f t="shared" ref="D27:J27" si="5">D8+D20</f>
        <v>180126.12999999998</v>
      </c>
      <c r="E27" s="9">
        <f t="shared" si="5"/>
        <v>41534.68</v>
      </c>
      <c r="F27" s="9">
        <f t="shared" si="5"/>
        <v>166243.10999999999</v>
      </c>
      <c r="G27" s="9">
        <f t="shared" si="5"/>
        <v>7681.4400000000005</v>
      </c>
      <c r="H27" s="9">
        <f t="shared" si="5"/>
        <v>-13883.01999999999</v>
      </c>
      <c r="I27" s="9">
        <f t="shared" si="5"/>
        <v>0</v>
      </c>
      <c r="J27" s="9">
        <f t="shared" si="5"/>
        <v>0</v>
      </c>
    </row>
    <row r="28" spans="1:12">
      <c r="B28" s="1" t="s">
        <v>39</v>
      </c>
      <c r="C28" s="9">
        <f>C4+C5+C19+C22</f>
        <v>42179.930000000008</v>
      </c>
      <c r="D28" s="9">
        <f t="shared" ref="D28:J28" si="6">D4+D5+D19+D22</f>
        <v>428839.12000000005</v>
      </c>
      <c r="E28" s="9">
        <f t="shared" si="6"/>
        <v>104725.45</v>
      </c>
      <c r="F28" s="9">
        <f t="shared" si="6"/>
        <v>412693.63</v>
      </c>
      <c r="G28" s="9">
        <f t="shared" si="6"/>
        <v>62545.52</v>
      </c>
      <c r="H28" s="9">
        <f t="shared" si="6"/>
        <v>-16145.490000000085</v>
      </c>
      <c r="I28" s="9">
        <f t="shared" si="6"/>
        <v>0</v>
      </c>
      <c r="J28" s="9">
        <f t="shared" si="6"/>
        <v>0</v>
      </c>
    </row>
    <row r="31" spans="1:12">
      <c r="C31">
        <f>24803.51+114388.46</f>
        <v>139191.97</v>
      </c>
      <c r="E31">
        <f>24143.65+199470.56</f>
        <v>223614.21</v>
      </c>
    </row>
    <row r="33" spans="10:11">
      <c r="J33" s="11"/>
      <c r="K33" s="11"/>
    </row>
  </sheetData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C1" sqref="C1"/>
    </sheetView>
  </sheetViews>
  <sheetFormatPr defaultRowHeight="12.75"/>
  <cols>
    <col min="1" max="1" width="4.140625" style="10" customWidth="1"/>
    <col min="2" max="2" width="30.7109375" customWidth="1"/>
    <col min="3" max="3" width="10.42578125" customWidth="1"/>
    <col min="4" max="4" width="11.5703125" customWidth="1"/>
    <col min="5" max="5" width="12.5703125" customWidth="1"/>
    <col min="6" max="6" width="12.140625" customWidth="1"/>
    <col min="7" max="7" width="9.7109375" bestFit="1" customWidth="1"/>
    <col min="8" max="8" width="11.140625" customWidth="1"/>
    <col min="9" max="9" width="11.28515625" customWidth="1"/>
    <col min="10" max="10" width="11.7109375" customWidth="1"/>
    <col min="11" max="11" width="9.28515625" bestFit="1" customWidth="1"/>
    <col min="12" max="12" width="10.140625" customWidth="1"/>
    <col min="13" max="13" width="9.7109375" bestFit="1" customWidth="1"/>
  </cols>
  <sheetData>
    <row r="1" spans="1:13" ht="33.75" customHeight="1">
      <c r="B1" s="11" t="s">
        <v>20</v>
      </c>
      <c r="C1" s="69" t="s">
        <v>49</v>
      </c>
    </row>
    <row r="2" spans="1:13" s="29" customFormat="1" ht="38.25">
      <c r="A2" s="34" t="s">
        <v>0</v>
      </c>
      <c r="B2" s="26" t="s">
        <v>1</v>
      </c>
      <c r="C2" s="35" t="s">
        <v>2</v>
      </c>
      <c r="D2" s="26" t="s">
        <v>3</v>
      </c>
      <c r="E2" s="28" t="s">
        <v>4</v>
      </c>
      <c r="F2" s="26" t="s">
        <v>5</v>
      </c>
      <c r="G2" s="26" t="s">
        <v>6</v>
      </c>
      <c r="H2" s="28" t="s">
        <v>7</v>
      </c>
      <c r="I2" s="28" t="s">
        <v>8</v>
      </c>
      <c r="J2" s="28" t="s">
        <v>9</v>
      </c>
      <c r="K2" s="26" t="s">
        <v>10</v>
      </c>
      <c r="L2" s="26" t="s">
        <v>11</v>
      </c>
    </row>
    <row r="3" spans="1:13">
      <c r="A3" s="1">
        <v>1</v>
      </c>
      <c r="B3" s="39" t="str">
        <f>май!B3</f>
        <v>Содержание общ.имущ.дома</v>
      </c>
      <c r="C3" s="8">
        <f>3428.39+16929.52</f>
        <v>20357.91</v>
      </c>
      <c r="D3" s="19">
        <f>C3+май!D3</f>
        <v>122147.46</v>
      </c>
      <c r="E3" s="9">
        <f>2947.41+16061.23</f>
        <v>19008.64</v>
      </c>
      <c r="F3" s="19">
        <f>E3+май!F3</f>
        <v>113170.46</v>
      </c>
      <c r="G3" s="19">
        <f>E3-C3</f>
        <v>-1349.2700000000004</v>
      </c>
      <c r="H3" s="20">
        <f>F3-D3</f>
        <v>-8977</v>
      </c>
      <c r="I3" s="9"/>
      <c r="J3" s="20">
        <f>I3+май!J3</f>
        <v>0</v>
      </c>
      <c r="K3" s="8"/>
      <c r="L3" s="19">
        <f>K3+май!L3</f>
        <v>0</v>
      </c>
    </row>
    <row r="4" spans="1:13">
      <c r="A4" s="1">
        <f>A3+1</f>
        <v>2</v>
      </c>
      <c r="B4" s="39" t="str">
        <f>май!B4</f>
        <v>Отопление</v>
      </c>
      <c r="C4" s="8">
        <v>0</v>
      </c>
      <c r="D4" s="19">
        <f>C4+май!D4</f>
        <v>293669.12000000005</v>
      </c>
      <c r="E4" s="9">
        <f>2731.25+21174.55</f>
        <v>23905.8</v>
      </c>
      <c r="F4" s="19">
        <f>E4+май!F4</f>
        <v>320171.33999999997</v>
      </c>
      <c r="G4" s="19">
        <f t="shared" ref="G4:H22" si="0">E4-C4</f>
        <v>23905.8</v>
      </c>
      <c r="H4" s="20">
        <f t="shared" si="0"/>
        <v>26502.219999999914</v>
      </c>
      <c r="I4" s="9"/>
      <c r="J4" s="20">
        <f>I4+май!J4</f>
        <v>0</v>
      </c>
      <c r="K4" s="8"/>
      <c r="L4" s="19">
        <f>K4+май!L4</f>
        <v>0</v>
      </c>
      <c r="M4" s="12">
        <f>L4-J4</f>
        <v>0</v>
      </c>
    </row>
    <row r="5" spans="1:13">
      <c r="A5" s="1">
        <f t="shared" ref="A5:A22" si="1">A4+1</f>
        <v>3</v>
      </c>
      <c r="B5" s="39" t="str">
        <f>май!B5</f>
        <v>Горячее водоснабжение</v>
      </c>
      <c r="C5" s="8">
        <f>4422.63+17968.51</f>
        <v>22391.14</v>
      </c>
      <c r="D5" s="19">
        <f>C5+май!D5</f>
        <v>147923.21000000002</v>
      </c>
      <c r="E5" s="9">
        <f>3719.9+18788.89</f>
        <v>22508.79</v>
      </c>
      <c r="F5" s="19">
        <f>E5+май!F5</f>
        <v>128763.13</v>
      </c>
      <c r="G5" s="19">
        <f t="shared" si="0"/>
        <v>117.65000000000146</v>
      </c>
      <c r="H5" s="20">
        <f t="shared" si="0"/>
        <v>-19160.080000000016</v>
      </c>
      <c r="I5" s="9"/>
      <c r="J5" s="20">
        <f>I5+май!J5</f>
        <v>0</v>
      </c>
      <c r="K5" s="8"/>
      <c r="L5" s="19">
        <f>K5+май!L5</f>
        <v>0</v>
      </c>
    </row>
    <row r="6" spans="1:13">
      <c r="A6" s="1">
        <f t="shared" si="1"/>
        <v>4</v>
      </c>
      <c r="B6" s="39" t="str">
        <f>май!B6</f>
        <v>Газ</v>
      </c>
      <c r="C6" s="8">
        <v>0</v>
      </c>
      <c r="D6" s="19">
        <f>C6+май!D6</f>
        <v>0</v>
      </c>
      <c r="E6" s="9">
        <v>0</v>
      </c>
      <c r="F6" s="19">
        <f>E6+май!F6</f>
        <v>0</v>
      </c>
      <c r="G6" s="19">
        <f t="shared" si="0"/>
        <v>0</v>
      </c>
      <c r="H6" s="20">
        <f t="shared" si="0"/>
        <v>0</v>
      </c>
      <c r="I6" s="9"/>
      <c r="J6" s="20">
        <f>I6+май!J6</f>
        <v>0</v>
      </c>
      <c r="K6" s="8"/>
      <c r="L6" s="19">
        <f>K6+май!L6</f>
        <v>0</v>
      </c>
    </row>
    <row r="7" spans="1:13" ht="14.25" customHeight="1">
      <c r="A7" s="1">
        <f t="shared" si="1"/>
        <v>5</v>
      </c>
      <c r="B7" s="39" t="str">
        <f>май!B7</f>
        <v>Уборка и сан.очистка зем.уч.</v>
      </c>
      <c r="C7" s="8">
        <f>527.23+2603.47</f>
        <v>3130.7</v>
      </c>
      <c r="D7" s="19">
        <f>C7+май!D7</f>
        <v>18784.2</v>
      </c>
      <c r="E7" s="9">
        <f>453.26+2467.16</f>
        <v>2920.42</v>
      </c>
      <c r="F7" s="19">
        <f>E7+май!F7</f>
        <v>17387.02</v>
      </c>
      <c r="G7" s="19">
        <f t="shared" si="0"/>
        <v>-210.27999999999975</v>
      </c>
      <c r="H7" s="20">
        <f t="shared" si="0"/>
        <v>-1397.1800000000003</v>
      </c>
      <c r="I7" s="9"/>
      <c r="J7" s="20">
        <f>I7+май!J7</f>
        <v>0</v>
      </c>
      <c r="K7" s="8"/>
      <c r="L7" s="19">
        <f>K7+май!L7</f>
        <v>0</v>
      </c>
    </row>
    <row r="8" spans="1:13" ht="15.75" customHeight="1">
      <c r="A8" s="1">
        <f t="shared" si="1"/>
        <v>6</v>
      </c>
      <c r="B8" s="39" t="str">
        <f>май!B8</f>
        <v>Электроснабжение(инд.потр)</v>
      </c>
      <c r="C8" s="8">
        <f>4681.8+21541.68</f>
        <v>26223.48</v>
      </c>
      <c r="D8" s="19">
        <f>C8+май!D8</f>
        <v>156983.4</v>
      </c>
      <c r="E8" s="9">
        <f>3689.07+22447.8</f>
        <v>26136.87</v>
      </c>
      <c r="F8" s="19">
        <f>E8+май!F8</f>
        <v>143582.32999999999</v>
      </c>
      <c r="G8" s="19">
        <f t="shared" si="0"/>
        <v>-86.610000000000582</v>
      </c>
      <c r="H8" s="20">
        <f t="shared" si="0"/>
        <v>-13401.070000000007</v>
      </c>
      <c r="I8" s="9"/>
      <c r="J8" s="20">
        <f>I8+май!J8</f>
        <v>0</v>
      </c>
      <c r="K8" s="8"/>
      <c r="L8" s="19">
        <f>K8+май!L8</f>
        <v>0</v>
      </c>
    </row>
    <row r="9" spans="1:13">
      <c r="A9" s="1">
        <f t="shared" si="1"/>
        <v>7</v>
      </c>
      <c r="B9" s="39" t="str">
        <f>май!B9</f>
        <v>Холодная вода</v>
      </c>
      <c r="C9" s="8">
        <f>1990.92+6136.48</f>
        <v>8127.4</v>
      </c>
      <c r="D9" s="19">
        <f>C9+май!D9</f>
        <v>51878.73</v>
      </c>
      <c r="E9" s="9">
        <f>1102.47+6580.71</f>
        <v>7683.18</v>
      </c>
      <c r="F9" s="19">
        <f>E9+май!F9</f>
        <v>45808.28</v>
      </c>
      <c r="G9" s="19">
        <f t="shared" si="0"/>
        <v>-444.21999999999935</v>
      </c>
      <c r="H9" s="20">
        <f t="shared" si="0"/>
        <v>-6070.4500000000044</v>
      </c>
      <c r="I9" s="9"/>
      <c r="J9" s="20">
        <f>I9+май!J9</f>
        <v>0</v>
      </c>
      <c r="K9" s="8"/>
      <c r="L9" s="19">
        <f>K9+май!L9</f>
        <v>0</v>
      </c>
    </row>
    <row r="10" spans="1:13">
      <c r="A10" s="1">
        <f t="shared" si="1"/>
        <v>8</v>
      </c>
      <c r="B10" s="39" t="str">
        <f>май!B10</f>
        <v>Канализирование х.воды</v>
      </c>
      <c r="C10" s="8">
        <v>0</v>
      </c>
      <c r="D10" s="19">
        <f>C10+май!D10</f>
        <v>0</v>
      </c>
      <c r="E10" s="9">
        <v>0</v>
      </c>
      <c r="F10" s="19">
        <f>E10+май!F10</f>
        <v>0</v>
      </c>
      <c r="G10" s="19">
        <f t="shared" si="0"/>
        <v>0</v>
      </c>
      <c r="H10" s="20">
        <f t="shared" si="0"/>
        <v>0</v>
      </c>
      <c r="I10" s="9"/>
      <c r="J10" s="20">
        <f>I10+май!J10</f>
        <v>0</v>
      </c>
      <c r="K10" s="8"/>
      <c r="L10" s="19">
        <f>K10+май!L10</f>
        <v>0</v>
      </c>
    </row>
    <row r="11" spans="1:13">
      <c r="A11" s="1">
        <f t="shared" si="1"/>
        <v>9</v>
      </c>
      <c r="B11" s="39" t="str">
        <f>май!B11</f>
        <v>Канализирование г.воды</v>
      </c>
      <c r="C11" s="8">
        <v>0</v>
      </c>
      <c r="D11" s="19">
        <f>C11+май!D11</f>
        <v>0</v>
      </c>
      <c r="E11" s="9">
        <v>0</v>
      </c>
      <c r="F11" s="19">
        <f>E11+май!F11</f>
        <v>0</v>
      </c>
      <c r="G11" s="19">
        <f t="shared" si="0"/>
        <v>0</v>
      </c>
      <c r="H11" s="20">
        <f t="shared" si="0"/>
        <v>0</v>
      </c>
      <c r="I11" s="9"/>
      <c r="J11" s="20">
        <f>I11+май!J11</f>
        <v>0</v>
      </c>
      <c r="K11" s="8"/>
      <c r="L11" s="19">
        <f>K11+май!L11</f>
        <v>0</v>
      </c>
    </row>
    <row r="12" spans="1:13">
      <c r="A12" s="1">
        <f t="shared" si="1"/>
        <v>10</v>
      </c>
      <c r="B12" s="39" t="str">
        <f>май!B12</f>
        <v>Тек.рем.общ.имущ.дома</v>
      </c>
      <c r="C12" s="8">
        <f>1789.09+8834.69</f>
        <v>10623.78</v>
      </c>
      <c r="D12" s="19">
        <f>C12+май!D12</f>
        <v>63742.679999999993</v>
      </c>
      <c r="E12" s="9">
        <f>1538.1+8469.32</f>
        <v>10007.42</v>
      </c>
      <c r="F12" s="19">
        <f>E12+май!F12</f>
        <v>59255.56</v>
      </c>
      <c r="G12" s="19">
        <f t="shared" si="0"/>
        <v>-616.36000000000058</v>
      </c>
      <c r="H12" s="20">
        <f t="shared" si="0"/>
        <v>-4487.1199999999953</v>
      </c>
      <c r="I12" s="9"/>
      <c r="J12" s="20">
        <f>I12+май!J12</f>
        <v>0</v>
      </c>
      <c r="K12" s="8"/>
      <c r="L12" s="19">
        <f>K12+май!L12</f>
        <v>0</v>
      </c>
    </row>
    <row r="13" spans="1:13" ht="15" customHeight="1">
      <c r="A13" s="1">
        <f t="shared" si="1"/>
        <v>11</v>
      </c>
      <c r="B13" s="39" t="str">
        <f>май!B13</f>
        <v>Сод.и тек.рем.в/дом.газосн</v>
      </c>
      <c r="C13" s="8">
        <f>184.86+951.95</f>
        <v>1136.81</v>
      </c>
      <c r="D13" s="19">
        <f>C13+май!D13</f>
        <v>6820.8599999999988</v>
      </c>
      <c r="E13" s="9">
        <f>168.42+884.53</f>
        <v>1052.95</v>
      </c>
      <c r="F13" s="19">
        <f>E13+май!F13</f>
        <v>6307.26</v>
      </c>
      <c r="G13" s="19">
        <f t="shared" si="0"/>
        <v>-83.8599999999999</v>
      </c>
      <c r="H13" s="20">
        <f t="shared" si="0"/>
        <v>-513.59999999999854</v>
      </c>
      <c r="I13" s="9"/>
      <c r="J13" s="20">
        <f>I13+май!J13</f>
        <v>0</v>
      </c>
      <c r="K13" s="8"/>
      <c r="L13" s="19">
        <f>K13+май!L13</f>
        <v>0</v>
      </c>
    </row>
    <row r="14" spans="1:13" ht="16.5" customHeight="1">
      <c r="A14" s="1">
        <f t="shared" si="1"/>
        <v>12</v>
      </c>
      <c r="B14" s="39" t="str">
        <f>май!B14</f>
        <v>Управление многокв.домом</v>
      </c>
      <c r="C14" s="8">
        <f>740.42+3656.23</f>
        <v>4396.6499999999996</v>
      </c>
      <c r="D14" s="19">
        <f>C14+май!D14</f>
        <v>26379.9</v>
      </c>
      <c r="E14" s="9">
        <f>636.53+3463.55</f>
        <v>4100.08</v>
      </c>
      <c r="F14" s="19">
        <f>E14+май!F14</f>
        <v>24412.980000000003</v>
      </c>
      <c r="G14" s="19">
        <f t="shared" si="0"/>
        <v>-296.56999999999971</v>
      </c>
      <c r="H14" s="20">
        <f t="shared" si="0"/>
        <v>-1966.9199999999983</v>
      </c>
      <c r="I14" s="9"/>
      <c r="J14" s="20">
        <f>I14+май!J14</f>
        <v>0</v>
      </c>
      <c r="K14" s="8"/>
      <c r="L14" s="19">
        <f>K14+май!L14</f>
        <v>0</v>
      </c>
    </row>
    <row r="15" spans="1:13">
      <c r="A15" s="1">
        <f t="shared" si="1"/>
        <v>13</v>
      </c>
      <c r="B15" s="39" t="str">
        <f>май!B15</f>
        <v>Водоотведение(кв)</v>
      </c>
      <c r="C15" s="8">
        <f>3219.97+11130.02</f>
        <v>14349.99</v>
      </c>
      <c r="D15" s="19">
        <f>C15+май!D15</f>
        <v>92992.49</v>
      </c>
      <c r="E15" s="9">
        <f>2136.2+11790.21</f>
        <v>13926.41</v>
      </c>
      <c r="F15" s="19">
        <f>E15+май!F15</f>
        <v>81672.63</v>
      </c>
      <c r="G15" s="19">
        <f t="shared" si="0"/>
        <v>-423.57999999999993</v>
      </c>
      <c r="H15" s="20">
        <f t="shared" si="0"/>
        <v>-11319.86</v>
      </c>
      <c r="I15" s="9"/>
      <c r="J15" s="20">
        <f>I15+май!J15</f>
        <v>0</v>
      </c>
      <c r="K15" s="8"/>
      <c r="L15" s="19">
        <f>K15+май!L15</f>
        <v>0</v>
      </c>
    </row>
    <row r="16" spans="1:13">
      <c r="A16" s="1">
        <f t="shared" si="1"/>
        <v>14</v>
      </c>
      <c r="B16" s="39" t="str">
        <f>май!B16</f>
        <v>Эксплуатация общед.ПУ</v>
      </c>
      <c r="C16" s="8">
        <f>190.17+938.99</f>
        <v>1129.1600000000001</v>
      </c>
      <c r="D16" s="19">
        <f>C16+май!D16</f>
        <v>6774.96</v>
      </c>
      <c r="E16" s="9">
        <f>163.48+892.58</f>
        <v>1056.06</v>
      </c>
      <c r="F16" s="19">
        <f>E16+май!F16</f>
        <v>6284.1200000000008</v>
      </c>
      <c r="G16" s="19">
        <f t="shared" si="0"/>
        <v>-73.100000000000136</v>
      </c>
      <c r="H16" s="20">
        <f t="shared" si="0"/>
        <v>-490.83999999999924</v>
      </c>
      <c r="I16" s="9"/>
      <c r="J16" s="20">
        <f>I16+май!J16</f>
        <v>0</v>
      </c>
      <c r="K16" s="8"/>
      <c r="L16" s="19">
        <f>K16+май!L16</f>
        <v>0</v>
      </c>
    </row>
    <row r="17" spans="1:12" ht="16.5" customHeight="1">
      <c r="A17" s="1">
        <f t="shared" si="1"/>
        <v>15</v>
      </c>
      <c r="B17" s="39" t="str">
        <f>май!B17</f>
        <v>Хол. водоснаб(о/д нужды)</v>
      </c>
      <c r="C17" s="8">
        <f>86.79+427.79</f>
        <v>514.58000000000004</v>
      </c>
      <c r="D17" s="19">
        <f>C17+май!D17</f>
        <v>3087.48</v>
      </c>
      <c r="E17" s="9">
        <f>74.71+430.9</f>
        <v>505.60999999999996</v>
      </c>
      <c r="F17" s="19">
        <f>E17+май!F17</f>
        <v>2893.6700000000005</v>
      </c>
      <c r="G17" s="19">
        <f t="shared" si="0"/>
        <v>-8.9700000000000841</v>
      </c>
      <c r="H17" s="20">
        <f t="shared" si="0"/>
        <v>-193.80999999999949</v>
      </c>
      <c r="I17" s="9"/>
      <c r="J17" s="20">
        <f>I17+май!J17</f>
        <v>0</v>
      </c>
      <c r="K17" s="8"/>
      <c r="L17" s="19">
        <f>K17+май!L17</f>
        <v>0</v>
      </c>
    </row>
    <row r="18" spans="1:12" ht="15.75" customHeight="1">
      <c r="A18" s="1">
        <f t="shared" si="1"/>
        <v>16</v>
      </c>
      <c r="B18" s="39" t="str">
        <f>май!B18</f>
        <v>Водоотведение(о/д нужды)</v>
      </c>
      <c r="C18" s="8">
        <v>0</v>
      </c>
      <c r="D18" s="19">
        <f>C18+май!D18</f>
        <v>0</v>
      </c>
      <c r="E18" s="9">
        <v>0</v>
      </c>
      <c r="F18" s="19">
        <f>E18+май!F18</f>
        <v>0</v>
      </c>
      <c r="G18" s="19">
        <f t="shared" si="0"/>
        <v>0</v>
      </c>
      <c r="H18" s="20">
        <f t="shared" si="0"/>
        <v>0</v>
      </c>
      <c r="I18" s="9"/>
      <c r="J18" s="20">
        <f>I18+май!J18</f>
        <v>0</v>
      </c>
      <c r="K18" s="8"/>
      <c r="L18" s="19">
        <f>K18+май!L18</f>
        <v>0</v>
      </c>
    </row>
    <row r="19" spans="1:12">
      <c r="A19" s="1">
        <f t="shared" si="1"/>
        <v>17</v>
      </c>
      <c r="B19" s="39" t="str">
        <f>май!B19</f>
        <v>Отопление(о/д нужды)</v>
      </c>
      <c r="C19" s="8">
        <v>0</v>
      </c>
      <c r="D19" s="19">
        <f>C19+май!D19</f>
        <v>0</v>
      </c>
      <c r="E19" s="9">
        <v>0</v>
      </c>
      <c r="F19" s="19">
        <f>E19+май!F19</f>
        <v>0</v>
      </c>
      <c r="G19" s="19">
        <f t="shared" si="0"/>
        <v>0</v>
      </c>
      <c r="H19" s="20">
        <f t="shared" si="0"/>
        <v>0</v>
      </c>
      <c r="I19" s="9"/>
      <c r="J19" s="20">
        <f>I19+май!J19</f>
        <v>0</v>
      </c>
      <c r="K19" s="9"/>
      <c r="L19" s="19">
        <f>K19+май!L19</f>
        <v>0</v>
      </c>
    </row>
    <row r="20" spans="1:12" ht="14.25" customHeight="1">
      <c r="A20" s="1">
        <f t="shared" si="1"/>
        <v>18</v>
      </c>
      <c r="B20" s="39" t="str">
        <f>май!B20</f>
        <v>Электроснабжение(общед.нужды)</v>
      </c>
      <c r="C20" s="8">
        <f>221.41+3720.36</f>
        <v>3941.77</v>
      </c>
      <c r="D20" s="19">
        <f>C20+май!D20</f>
        <v>53307.979999999989</v>
      </c>
      <c r="E20" s="9">
        <f>1285.89+5384.34</f>
        <v>6670.2300000000005</v>
      </c>
      <c r="F20" s="19">
        <f>E20+май!F20</f>
        <v>55467.88</v>
      </c>
      <c r="G20" s="19">
        <f t="shared" si="0"/>
        <v>2728.4600000000005</v>
      </c>
      <c r="H20" s="20">
        <f t="shared" si="0"/>
        <v>2159.9000000000087</v>
      </c>
      <c r="I20" s="9"/>
      <c r="J20" s="20">
        <f>I20+май!J20</f>
        <v>0</v>
      </c>
      <c r="K20" s="9"/>
      <c r="L20" s="19">
        <f>K20+май!L20</f>
        <v>0</v>
      </c>
    </row>
    <row r="21" spans="1:12">
      <c r="A21" s="1">
        <f t="shared" si="1"/>
        <v>19</v>
      </c>
      <c r="B21" s="39" t="str">
        <f>май!B21</f>
        <v>Капитальный ремонт</v>
      </c>
      <c r="C21" s="8">
        <v>0</v>
      </c>
      <c r="D21" s="19">
        <f>C21+май!D21</f>
        <v>0</v>
      </c>
      <c r="E21" s="9">
        <v>0</v>
      </c>
      <c r="F21" s="19">
        <f>E21+май!F21</f>
        <v>0</v>
      </c>
      <c r="G21" s="19">
        <f t="shared" si="0"/>
        <v>0</v>
      </c>
      <c r="H21" s="20">
        <f t="shared" si="0"/>
        <v>0</v>
      </c>
      <c r="I21" s="9"/>
      <c r="J21" s="20">
        <f>I21+май!J21</f>
        <v>0</v>
      </c>
      <c r="K21" s="8"/>
      <c r="L21" s="19">
        <f>K21+май!L21</f>
        <v>0</v>
      </c>
    </row>
    <row r="22" spans="1:12" ht="15.75" customHeight="1">
      <c r="A22" s="1">
        <f t="shared" si="1"/>
        <v>20</v>
      </c>
      <c r="B22" s="39" t="str">
        <f>май!B22</f>
        <v>Гор. Водоснабж. (о/д нужды)</v>
      </c>
      <c r="C22" s="8">
        <f>192.39+954.94+1706.81</f>
        <v>2854.14</v>
      </c>
      <c r="D22" s="19">
        <f>C22+май!D22</f>
        <v>12492.07</v>
      </c>
      <c r="E22" s="9">
        <f>165.35+941.24+1365.85</f>
        <v>2472.4399999999996</v>
      </c>
      <c r="F22" s="19">
        <f>E22+май!F22</f>
        <v>12646.189999999999</v>
      </c>
      <c r="G22" s="19">
        <f t="shared" si="0"/>
        <v>-381.70000000000027</v>
      </c>
      <c r="H22" s="20">
        <f t="shared" si="0"/>
        <v>154.11999999999898</v>
      </c>
      <c r="I22" s="9"/>
      <c r="J22" s="20">
        <f>I22+май!J22</f>
        <v>0</v>
      </c>
      <c r="K22" s="8"/>
      <c r="L22" s="19">
        <f>K22+май!L22</f>
        <v>0</v>
      </c>
    </row>
    <row r="23" spans="1:12">
      <c r="A23" s="17"/>
      <c r="B23" s="18" t="s">
        <v>12</v>
      </c>
      <c r="C23" s="30">
        <f t="shared" ref="C23:L23" si="2">SUM(C3:C22)</f>
        <v>119177.51</v>
      </c>
      <c r="D23" s="19">
        <f t="shared" si="2"/>
        <v>1056984.54</v>
      </c>
      <c r="E23" s="31">
        <f t="shared" si="2"/>
        <v>141954.9</v>
      </c>
      <c r="F23" s="19">
        <f t="shared" si="2"/>
        <v>1017822.8499999999</v>
      </c>
      <c r="G23" s="19">
        <f t="shared" si="2"/>
        <v>22777.389999999996</v>
      </c>
      <c r="H23" s="20">
        <f t="shared" si="2"/>
        <v>-39161.69000000009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5" spans="1:12">
      <c r="B25" s="40" t="s">
        <v>35</v>
      </c>
      <c r="C25" s="9">
        <f t="shared" ref="C25:H25" si="3">C3+C7+C12+C13+C14+C16</f>
        <v>40775.01</v>
      </c>
      <c r="D25" s="9">
        <f t="shared" si="3"/>
        <v>244650.05999999997</v>
      </c>
      <c r="E25" s="9">
        <f t="shared" si="3"/>
        <v>38145.569999999992</v>
      </c>
      <c r="F25" s="9">
        <f t="shared" si="3"/>
        <v>226817.40000000002</v>
      </c>
      <c r="G25" s="9">
        <f t="shared" si="3"/>
        <v>-2629.4400000000005</v>
      </c>
      <c r="H25" s="9">
        <f t="shared" si="3"/>
        <v>-17832.659999999993</v>
      </c>
    </row>
    <row r="26" spans="1:12">
      <c r="B26" s="1" t="s">
        <v>37</v>
      </c>
      <c r="C26" s="9">
        <f>C9+C10+C11+C15+C17+C18</f>
        <v>22991.97</v>
      </c>
      <c r="D26" s="9">
        <f t="shared" ref="D26:J26" si="4">D9+D10+D11+D15+D17+D18</f>
        <v>147958.70000000001</v>
      </c>
      <c r="E26" s="9">
        <f t="shared" si="4"/>
        <v>22115.200000000001</v>
      </c>
      <c r="F26" s="9">
        <f t="shared" si="4"/>
        <v>130374.58</v>
      </c>
      <c r="G26" s="9">
        <f t="shared" si="4"/>
        <v>-876.7699999999993</v>
      </c>
      <c r="H26" s="9">
        <f t="shared" si="4"/>
        <v>-17584.120000000003</v>
      </c>
      <c r="I26" s="9">
        <f t="shared" si="4"/>
        <v>0</v>
      </c>
      <c r="J26" s="9">
        <f t="shared" si="4"/>
        <v>0</v>
      </c>
    </row>
    <row r="27" spans="1:12">
      <c r="B27" s="1" t="s">
        <v>38</v>
      </c>
      <c r="C27" s="9">
        <f>C8+C20</f>
        <v>30165.25</v>
      </c>
      <c r="D27" s="9">
        <f t="shared" ref="D27:J27" si="5">D8+D20</f>
        <v>210291.37999999998</v>
      </c>
      <c r="E27" s="9">
        <f t="shared" si="5"/>
        <v>32807.1</v>
      </c>
      <c r="F27" s="9">
        <f t="shared" si="5"/>
        <v>199050.21</v>
      </c>
      <c r="G27" s="9">
        <f t="shared" si="5"/>
        <v>2641.85</v>
      </c>
      <c r="H27" s="9">
        <f t="shared" si="5"/>
        <v>-11241.169999999998</v>
      </c>
      <c r="I27" s="9">
        <f t="shared" si="5"/>
        <v>0</v>
      </c>
      <c r="J27" s="9">
        <f t="shared" si="5"/>
        <v>0</v>
      </c>
    </row>
    <row r="28" spans="1:12">
      <c r="B28" s="1" t="s">
        <v>39</v>
      </c>
      <c r="C28" s="9">
        <f>C4+C5+C19+C22</f>
        <v>25245.279999999999</v>
      </c>
      <c r="D28" s="9">
        <f t="shared" ref="D28:J28" si="6">D4+D5+D19+D22</f>
        <v>454084.40000000008</v>
      </c>
      <c r="E28" s="9">
        <f t="shared" si="6"/>
        <v>48887.03</v>
      </c>
      <c r="F28" s="9">
        <f t="shared" si="6"/>
        <v>461580.66</v>
      </c>
      <c r="G28" s="9">
        <f t="shared" si="6"/>
        <v>23641.75</v>
      </c>
      <c r="H28" s="9">
        <f t="shared" si="6"/>
        <v>7496.2599999998965</v>
      </c>
      <c r="I28" s="9">
        <f t="shared" si="6"/>
        <v>0</v>
      </c>
      <c r="J28" s="9">
        <f t="shared" si="6"/>
        <v>0</v>
      </c>
    </row>
    <row r="31" spans="1:12">
      <c r="C31">
        <f>21676.07+97501.44</f>
        <v>119177.51000000001</v>
      </c>
      <c r="E31" s="71">
        <f>20812.04+121142.86</f>
        <v>141954.9</v>
      </c>
    </row>
    <row r="36" spans="8:9">
      <c r="H36" s="11"/>
      <c r="I36" s="11"/>
    </row>
  </sheetData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D1" sqref="D1"/>
    </sheetView>
  </sheetViews>
  <sheetFormatPr defaultRowHeight="12.75"/>
  <cols>
    <col min="1" max="1" width="3.5703125" customWidth="1"/>
    <col min="2" max="2" width="30.5703125" customWidth="1"/>
    <col min="3" max="3" width="11" customWidth="1"/>
    <col min="4" max="4" width="13.85546875" customWidth="1"/>
    <col min="5" max="5" width="11.28515625" customWidth="1"/>
    <col min="6" max="6" width="11.140625" customWidth="1"/>
    <col min="7" max="7" width="9.7109375" bestFit="1" customWidth="1"/>
    <col min="8" max="8" width="12.5703125" customWidth="1"/>
    <col min="9" max="9" width="9.28515625" bestFit="1" customWidth="1"/>
    <col min="10" max="10" width="11.28515625" customWidth="1"/>
    <col min="11" max="12" width="10.42578125" customWidth="1"/>
    <col min="13" max="13" width="9.7109375" bestFit="1" customWidth="1"/>
  </cols>
  <sheetData>
    <row r="1" spans="1:13" ht="31.5" customHeight="1">
      <c r="B1" s="89" t="s">
        <v>19</v>
      </c>
      <c r="C1" s="90"/>
      <c r="D1" s="72" t="s">
        <v>50</v>
      </c>
    </row>
    <row r="2" spans="1:13" s="29" customFormat="1" ht="38.25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>
      <c r="A3" s="1">
        <v>1</v>
      </c>
      <c r="B3" s="39" t="str">
        <f>июнь!B3</f>
        <v>Содержание общ.имущ.дома</v>
      </c>
      <c r="C3" s="8">
        <f>3592.59+17740.4</f>
        <v>21332.99</v>
      </c>
      <c r="D3" s="19">
        <f>C3+июнь!D3</f>
        <v>143480.45000000001</v>
      </c>
      <c r="E3" s="9">
        <f>2322.77+16703.29</f>
        <v>19026.060000000001</v>
      </c>
      <c r="F3" s="19">
        <f>E3+июнь!F3</f>
        <v>132196.52000000002</v>
      </c>
      <c r="G3" s="19">
        <f>E3-C3</f>
        <v>-2306.9300000000003</v>
      </c>
      <c r="H3" s="20">
        <f>F3-D3</f>
        <v>-11283.929999999993</v>
      </c>
      <c r="I3" s="9"/>
      <c r="J3" s="20">
        <f>I3+июнь!J3</f>
        <v>0</v>
      </c>
      <c r="K3" s="8"/>
      <c r="L3" s="19">
        <f>K3+июнь!L3</f>
        <v>0</v>
      </c>
    </row>
    <row r="4" spans="1:13">
      <c r="A4" s="1">
        <f>A3+1</f>
        <v>2</v>
      </c>
      <c r="B4" s="39" t="str">
        <f>июнь!B4</f>
        <v>Отопление</v>
      </c>
      <c r="C4" s="8">
        <f>0</f>
        <v>0</v>
      </c>
      <c r="D4" s="19">
        <f>C4+июнь!D4</f>
        <v>293669.12000000005</v>
      </c>
      <c r="E4" s="9">
        <f>795.65+10906.67</f>
        <v>11702.32</v>
      </c>
      <c r="F4" s="19">
        <f>E4+июнь!F4</f>
        <v>331873.65999999997</v>
      </c>
      <c r="G4" s="19">
        <f t="shared" ref="G4:H22" si="0">E4-C4</f>
        <v>11702.32</v>
      </c>
      <c r="H4" s="20">
        <f t="shared" si="0"/>
        <v>38204.539999999921</v>
      </c>
      <c r="I4" s="9"/>
      <c r="J4" s="20">
        <f>I4+июнь!J4</f>
        <v>0</v>
      </c>
      <c r="K4" s="8"/>
      <c r="L4" s="19">
        <f>K4+июнь!L4</f>
        <v>0</v>
      </c>
      <c r="M4" s="12">
        <f>L4-J4</f>
        <v>0</v>
      </c>
    </row>
    <row r="5" spans="1:13">
      <c r="A5" s="1">
        <f t="shared" ref="A5:A22" si="1">A4+1</f>
        <v>3</v>
      </c>
      <c r="B5" s="39" t="str">
        <f>июнь!B5</f>
        <v>Горячее водоснабжение</v>
      </c>
      <c r="C5" s="8">
        <f>3193.85+25035.27</f>
        <v>28229.119999999999</v>
      </c>
      <c r="D5" s="19">
        <f>C5+июнь!D5</f>
        <v>176152.33000000002</v>
      </c>
      <c r="E5" s="9">
        <f>4099.55+16051.06</f>
        <v>20150.61</v>
      </c>
      <c r="F5" s="19">
        <f>E5+июнь!F5</f>
        <v>148913.74</v>
      </c>
      <c r="G5" s="19">
        <f t="shared" si="0"/>
        <v>-8078.5099999999984</v>
      </c>
      <c r="H5" s="20">
        <f t="shared" si="0"/>
        <v>-27238.590000000026</v>
      </c>
      <c r="I5" s="9"/>
      <c r="J5" s="20">
        <f>I5+июнь!J5</f>
        <v>0</v>
      </c>
      <c r="K5" s="8"/>
      <c r="L5" s="19">
        <f>K5+июнь!L5</f>
        <v>0</v>
      </c>
    </row>
    <row r="6" spans="1:13">
      <c r="A6" s="1">
        <f t="shared" si="1"/>
        <v>4</v>
      </c>
      <c r="B6" s="39" t="str">
        <f>июнь!B6</f>
        <v>Газ</v>
      </c>
      <c r="C6" s="8">
        <v>0</v>
      </c>
      <c r="D6" s="19">
        <f>C6+июнь!D6</f>
        <v>0</v>
      </c>
      <c r="E6" s="9">
        <v>0</v>
      </c>
      <c r="F6" s="19">
        <f>E6+июнь!F6</f>
        <v>0</v>
      </c>
      <c r="G6" s="19">
        <f t="shared" si="0"/>
        <v>0</v>
      </c>
      <c r="H6" s="20">
        <f t="shared" si="0"/>
        <v>0</v>
      </c>
      <c r="I6" s="9"/>
      <c r="J6" s="20">
        <f>I6+июнь!J6</f>
        <v>0</v>
      </c>
      <c r="K6" s="8"/>
      <c r="L6" s="19">
        <f>K6+июнь!L6</f>
        <v>0</v>
      </c>
    </row>
    <row r="7" spans="1:13" ht="15" customHeight="1">
      <c r="A7" s="1">
        <f t="shared" si="1"/>
        <v>5</v>
      </c>
      <c r="B7" s="39" t="str">
        <f>июнь!B7</f>
        <v>Уборка и сан.очистка зем.уч.</v>
      </c>
      <c r="C7" s="8">
        <f>541.64+2674.62</f>
        <v>3216.2599999999998</v>
      </c>
      <c r="D7" s="19">
        <f>C7+июнь!D7</f>
        <v>22000.46</v>
      </c>
      <c r="E7" s="9">
        <f>352.03+2531.99</f>
        <v>2884.0199999999995</v>
      </c>
      <c r="F7" s="19">
        <f>E7+июнь!F7</f>
        <v>20271.04</v>
      </c>
      <c r="G7" s="19">
        <f t="shared" si="0"/>
        <v>-332.24000000000024</v>
      </c>
      <c r="H7" s="20">
        <f t="shared" si="0"/>
        <v>-1729.4199999999983</v>
      </c>
      <c r="I7" s="9"/>
      <c r="J7" s="20">
        <f>I7+июнь!J7</f>
        <v>0</v>
      </c>
      <c r="K7" s="8"/>
      <c r="L7" s="19">
        <f>K7+июнь!L7</f>
        <v>0</v>
      </c>
    </row>
    <row r="8" spans="1:13" ht="12.75" customHeight="1">
      <c r="A8" s="1">
        <f t="shared" si="1"/>
        <v>6</v>
      </c>
      <c r="B8" s="39" t="str">
        <f>июнь!B8</f>
        <v>Электроснабжение(инд.потр)</v>
      </c>
      <c r="C8" s="8">
        <f>4910.01+22595.52</f>
        <v>27505.53</v>
      </c>
      <c r="D8" s="19">
        <f>C8+июнь!D8</f>
        <v>184488.93</v>
      </c>
      <c r="E8" s="9">
        <f>3041.86+18972.44</f>
        <v>22014.3</v>
      </c>
      <c r="F8" s="19">
        <f>E8+июнь!F8</f>
        <v>165596.62999999998</v>
      </c>
      <c r="G8" s="19">
        <f t="shared" si="0"/>
        <v>-5491.23</v>
      </c>
      <c r="H8" s="20">
        <f t="shared" si="0"/>
        <v>-18892.300000000017</v>
      </c>
      <c r="I8" s="9"/>
      <c r="J8" s="20">
        <f>I8+июнь!J8</f>
        <v>0</v>
      </c>
      <c r="K8" s="8"/>
      <c r="L8" s="19">
        <f>K8+июнь!L8</f>
        <v>0</v>
      </c>
    </row>
    <row r="9" spans="1:13">
      <c r="A9" s="1">
        <f t="shared" si="1"/>
        <v>7</v>
      </c>
      <c r="B9" s="39" t="str">
        <f>июнь!B9</f>
        <v>Холодная вода</v>
      </c>
      <c r="C9" s="8">
        <f>1704.6+6827.45</f>
        <v>8532.0499999999993</v>
      </c>
      <c r="D9" s="19">
        <f>C9+июнь!D9</f>
        <v>60410.78</v>
      </c>
      <c r="E9" s="9">
        <f>1647.89+5046.65</f>
        <v>6694.54</v>
      </c>
      <c r="F9" s="19">
        <f>E9+июнь!F9</f>
        <v>52502.82</v>
      </c>
      <c r="G9" s="19">
        <f t="shared" si="0"/>
        <v>-1837.5099999999993</v>
      </c>
      <c r="H9" s="20">
        <f t="shared" si="0"/>
        <v>-7907.9599999999991</v>
      </c>
      <c r="I9" s="9"/>
      <c r="J9" s="20">
        <f>I9+июнь!J9</f>
        <v>0</v>
      </c>
      <c r="K9" s="8"/>
      <c r="L9" s="19">
        <f>K9+июнь!L9</f>
        <v>0</v>
      </c>
    </row>
    <row r="10" spans="1:13" ht="13.5" customHeight="1">
      <c r="A10" s="1">
        <f t="shared" si="1"/>
        <v>8</v>
      </c>
      <c r="B10" s="39" t="str">
        <f>июнь!B10</f>
        <v>Канализирование х.воды</v>
      </c>
      <c r="C10" s="8">
        <v>0</v>
      </c>
      <c r="D10" s="19">
        <f>C10+июнь!D10</f>
        <v>0</v>
      </c>
      <c r="E10" s="9">
        <v>0</v>
      </c>
      <c r="F10" s="19">
        <f>E10+июнь!F10</f>
        <v>0</v>
      </c>
      <c r="G10" s="19">
        <f t="shared" si="0"/>
        <v>0</v>
      </c>
      <c r="H10" s="20">
        <f t="shared" si="0"/>
        <v>0</v>
      </c>
      <c r="I10" s="9"/>
      <c r="J10" s="20">
        <f>I10+июнь!J10</f>
        <v>0</v>
      </c>
      <c r="K10" s="8"/>
      <c r="L10" s="19">
        <f>K10+июнь!L10</f>
        <v>0</v>
      </c>
    </row>
    <row r="11" spans="1:13" ht="13.5" customHeight="1">
      <c r="A11" s="1">
        <f t="shared" si="1"/>
        <v>9</v>
      </c>
      <c r="B11" s="39" t="str">
        <f>июнь!B11</f>
        <v>Канализирование г.воды</v>
      </c>
      <c r="C11" s="8">
        <v>0</v>
      </c>
      <c r="D11" s="19">
        <f>C11+июнь!D11</f>
        <v>0</v>
      </c>
      <c r="E11" s="9">
        <v>0</v>
      </c>
      <c r="F11" s="19">
        <f>E11+июнь!F11</f>
        <v>0</v>
      </c>
      <c r="G11" s="19">
        <f t="shared" si="0"/>
        <v>0</v>
      </c>
      <c r="H11" s="20">
        <f t="shared" si="0"/>
        <v>0</v>
      </c>
      <c r="I11" s="9"/>
      <c r="J11" s="20">
        <f>I11+июнь!J11</f>
        <v>0</v>
      </c>
      <c r="K11" s="8"/>
      <c r="L11" s="19">
        <f>K11+июнь!L11</f>
        <v>0</v>
      </c>
    </row>
    <row r="12" spans="1:13">
      <c r="A12" s="1">
        <f t="shared" si="1"/>
        <v>10</v>
      </c>
      <c r="B12" s="39" t="str">
        <f>июнь!B12</f>
        <v>Тек.рем.общ.имущ.дома</v>
      </c>
      <c r="C12" s="8">
        <f>1789.09+8834.69</f>
        <v>10623.78</v>
      </c>
      <c r="D12" s="19">
        <f>C12+июнь!D12</f>
        <v>74366.459999999992</v>
      </c>
      <c r="E12" s="9">
        <f>1171.2+8499.17</f>
        <v>9670.3700000000008</v>
      </c>
      <c r="F12" s="19">
        <f>E12+июнь!F12</f>
        <v>68925.929999999993</v>
      </c>
      <c r="G12" s="19">
        <f t="shared" si="0"/>
        <v>-953.40999999999985</v>
      </c>
      <c r="H12" s="20">
        <f t="shared" si="0"/>
        <v>-5440.5299999999988</v>
      </c>
      <c r="I12" s="9"/>
      <c r="J12" s="20">
        <f>I12+июнь!J12</f>
        <v>0</v>
      </c>
      <c r="K12" s="8"/>
      <c r="L12" s="19">
        <f>K12+июнь!L12</f>
        <v>0</v>
      </c>
    </row>
    <row r="13" spans="1:13" ht="11.25" customHeight="1">
      <c r="A13" s="1">
        <f t="shared" si="1"/>
        <v>11</v>
      </c>
      <c r="B13" s="39" t="str">
        <f>июнь!B13</f>
        <v>Сод.и тек.рем.в/дом.газосн</v>
      </c>
      <c r="C13" s="8">
        <f>184.86+951.95</f>
        <v>1136.81</v>
      </c>
      <c r="D13" s="19">
        <f>C13+июнь!D13</f>
        <v>7957.6699999999983</v>
      </c>
      <c r="E13" s="9">
        <f>128.24+929.38</f>
        <v>1057.6199999999999</v>
      </c>
      <c r="F13" s="19">
        <f>E13+июнь!F13</f>
        <v>7364.88</v>
      </c>
      <c r="G13" s="19">
        <f t="shared" si="0"/>
        <v>-79.190000000000055</v>
      </c>
      <c r="H13" s="20">
        <f t="shared" si="0"/>
        <v>-592.78999999999814</v>
      </c>
      <c r="I13" s="9"/>
      <c r="J13" s="20">
        <f>I13+июнь!J13</f>
        <v>0</v>
      </c>
      <c r="K13" s="8"/>
      <c r="L13" s="19">
        <f>K13+июнь!L13</f>
        <v>0</v>
      </c>
    </row>
    <row r="14" spans="1:13" ht="15" customHeight="1">
      <c r="A14" s="1">
        <f t="shared" si="1"/>
        <v>12</v>
      </c>
      <c r="B14" s="39" t="str">
        <f>июнь!B14</f>
        <v>Управление многокв.домом</v>
      </c>
      <c r="C14" s="8">
        <f>864.3+4267.95</f>
        <v>5132.25</v>
      </c>
      <c r="D14" s="19">
        <f>C14+июнь!D14</f>
        <v>31512.15</v>
      </c>
      <c r="E14" s="9">
        <f>543.87+3848.14</f>
        <v>4392.01</v>
      </c>
      <c r="F14" s="19">
        <f>E14+июнь!F14</f>
        <v>28804.990000000005</v>
      </c>
      <c r="G14" s="19">
        <f t="shared" si="0"/>
        <v>-740.23999999999978</v>
      </c>
      <c r="H14" s="20">
        <f t="shared" si="0"/>
        <v>-2707.1599999999962</v>
      </c>
      <c r="I14" s="9"/>
      <c r="J14" s="20">
        <f>I14+июнь!J14</f>
        <v>0</v>
      </c>
      <c r="K14" s="8"/>
      <c r="L14" s="19">
        <f>K14+июнь!L14</f>
        <v>0</v>
      </c>
    </row>
    <row r="15" spans="1:13">
      <c r="A15" s="1">
        <f t="shared" si="1"/>
        <v>13</v>
      </c>
      <c r="B15" s="39" t="str">
        <f>июнь!B15</f>
        <v>Водоотведение(кв)</v>
      </c>
      <c r="C15" s="8">
        <f>2622.05+14018.96</f>
        <v>16641.009999999998</v>
      </c>
      <c r="D15" s="19">
        <f>C15+июнь!D15</f>
        <v>109633.5</v>
      </c>
      <c r="E15" s="9">
        <f>2787.16+9269.7</f>
        <v>12056.86</v>
      </c>
      <c r="F15" s="19">
        <f>E15+июнь!F15</f>
        <v>93729.49</v>
      </c>
      <c r="G15" s="19">
        <f t="shared" si="0"/>
        <v>-4584.1499999999978</v>
      </c>
      <c r="H15" s="20">
        <f t="shared" si="0"/>
        <v>-15904.009999999995</v>
      </c>
      <c r="I15" s="9"/>
      <c r="J15" s="20">
        <f>I15+июнь!J15</f>
        <v>0</v>
      </c>
      <c r="K15" s="8"/>
      <c r="L15" s="19">
        <f>K15+июнь!L15</f>
        <v>0</v>
      </c>
    </row>
    <row r="16" spans="1:13">
      <c r="A16" s="1">
        <f t="shared" si="1"/>
        <v>14</v>
      </c>
      <c r="B16" s="39" t="str">
        <f>июнь!B16</f>
        <v>Эксплуатация общед.ПУ</v>
      </c>
      <c r="C16" s="8">
        <f>190.17+938.99</f>
        <v>1129.1600000000001</v>
      </c>
      <c r="D16" s="19">
        <f>C16+июнь!D16</f>
        <v>7904.12</v>
      </c>
      <c r="E16" s="9">
        <f>124.49+901.84</f>
        <v>1026.33</v>
      </c>
      <c r="F16" s="19">
        <f>E16+июнь!F16</f>
        <v>7310.4500000000007</v>
      </c>
      <c r="G16" s="19">
        <f t="shared" si="0"/>
        <v>-102.83000000000015</v>
      </c>
      <c r="H16" s="20">
        <f t="shared" si="0"/>
        <v>-593.66999999999916</v>
      </c>
      <c r="I16" s="9"/>
      <c r="J16" s="20">
        <f>I16+июнь!J16</f>
        <v>0</v>
      </c>
      <c r="K16" s="8"/>
      <c r="L16" s="19">
        <f>K16+июнь!L16</f>
        <v>0</v>
      </c>
    </row>
    <row r="17" spans="1:12" ht="15.75" customHeight="1">
      <c r="A17" s="1">
        <f t="shared" si="1"/>
        <v>15</v>
      </c>
      <c r="B17" s="39" t="str">
        <f>июнь!B17</f>
        <v>Хол. водоснаб(о/д нужды)</v>
      </c>
      <c r="C17" s="8">
        <f>93.27+459.71</f>
        <v>552.98</v>
      </c>
      <c r="D17" s="19">
        <f>C17+июнь!D17</f>
        <v>3640.46</v>
      </c>
      <c r="E17" s="9">
        <f>60.1+425.23</f>
        <v>485.33000000000004</v>
      </c>
      <c r="F17" s="19">
        <f>E17+июнь!F17</f>
        <v>3379.0000000000005</v>
      </c>
      <c r="G17" s="19">
        <f t="shared" si="0"/>
        <v>-67.649999999999977</v>
      </c>
      <c r="H17" s="20">
        <f t="shared" si="0"/>
        <v>-261.45999999999958</v>
      </c>
      <c r="I17" s="9"/>
      <c r="J17" s="20">
        <f>I17+июнь!J17</f>
        <v>0</v>
      </c>
      <c r="K17" s="8"/>
      <c r="L17" s="19">
        <f>K17+июнь!L17</f>
        <v>0</v>
      </c>
    </row>
    <row r="18" spans="1:12" ht="12" customHeight="1">
      <c r="A18" s="1">
        <f t="shared" si="1"/>
        <v>16</v>
      </c>
      <c r="B18" s="39" t="str">
        <f>июнь!B18</f>
        <v>Водоотведение(о/д нужды)</v>
      </c>
      <c r="C18" s="8">
        <v>0</v>
      </c>
      <c r="D18" s="19">
        <f>C18+июнь!D18</f>
        <v>0</v>
      </c>
      <c r="E18" s="9">
        <v>0</v>
      </c>
      <c r="F18" s="19">
        <f>E18+июнь!F18</f>
        <v>0</v>
      </c>
      <c r="G18" s="19">
        <f t="shared" si="0"/>
        <v>0</v>
      </c>
      <c r="H18" s="20">
        <f t="shared" si="0"/>
        <v>0</v>
      </c>
      <c r="I18" s="9"/>
      <c r="J18" s="20">
        <f>I18+июнь!J18</f>
        <v>0</v>
      </c>
      <c r="K18" s="8"/>
      <c r="L18" s="19">
        <f>K18+июнь!L18</f>
        <v>0</v>
      </c>
    </row>
    <row r="19" spans="1:12">
      <c r="A19" s="1">
        <f t="shared" si="1"/>
        <v>17</v>
      </c>
      <c r="B19" s="39" t="str">
        <f>июнь!B19</f>
        <v>Отопление(о/д нужды)</v>
      </c>
      <c r="C19" s="8">
        <v>0</v>
      </c>
      <c r="D19" s="19">
        <f>C19+июнь!D19</f>
        <v>0</v>
      </c>
      <c r="E19" s="9">
        <v>0</v>
      </c>
      <c r="F19" s="19">
        <f>E19+июнь!F19</f>
        <v>0</v>
      </c>
      <c r="G19" s="19">
        <f t="shared" si="0"/>
        <v>0</v>
      </c>
      <c r="H19" s="20">
        <f t="shared" si="0"/>
        <v>0</v>
      </c>
      <c r="I19" s="9"/>
      <c r="J19" s="20">
        <f>I19+июнь!J19</f>
        <v>0</v>
      </c>
      <c r="K19" s="9"/>
      <c r="L19" s="19">
        <f>K19+июнь!L19</f>
        <v>0</v>
      </c>
    </row>
    <row r="20" spans="1:12" ht="15" customHeight="1">
      <c r="A20" s="1">
        <f t="shared" si="1"/>
        <v>18</v>
      </c>
      <c r="B20" s="39" t="str">
        <f>июнь!B20</f>
        <v>Электроснабжение(общед.нужды)</v>
      </c>
      <c r="C20" s="8">
        <f>2488.03+8590.7+1791.92</f>
        <v>12870.650000000001</v>
      </c>
      <c r="D20" s="19">
        <f>C20+июнь!D20</f>
        <v>66178.62999999999</v>
      </c>
      <c r="E20" s="9">
        <f>253.23+4866.87+1707.09</f>
        <v>6827.19</v>
      </c>
      <c r="F20" s="19">
        <f>E20+июнь!F20</f>
        <v>62295.07</v>
      </c>
      <c r="G20" s="19">
        <f t="shared" si="0"/>
        <v>-6043.4600000000019</v>
      </c>
      <c r="H20" s="20">
        <f t="shared" si="0"/>
        <v>-3883.5599999999904</v>
      </c>
      <c r="I20" s="9"/>
      <c r="J20" s="20">
        <f>I20+июнь!J20</f>
        <v>0</v>
      </c>
      <c r="K20" s="9"/>
      <c r="L20" s="19">
        <f>K20+июнь!L20</f>
        <v>0</v>
      </c>
    </row>
    <row r="21" spans="1:12">
      <c r="A21" s="1">
        <f t="shared" si="1"/>
        <v>19</v>
      </c>
      <c r="B21" s="39" t="str">
        <f>июнь!B21</f>
        <v>Капитальный ремонт</v>
      </c>
      <c r="C21" s="8">
        <v>0</v>
      </c>
      <c r="D21" s="19">
        <f>C21+июнь!D21</f>
        <v>0</v>
      </c>
      <c r="E21" s="9">
        <v>0</v>
      </c>
      <c r="F21" s="19">
        <f>E21+июнь!F21</f>
        <v>0</v>
      </c>
      <c r="G21" s="19">
        <f t="shared" si="0"/>
        <v>0</v>
      </c>
      <c r="H21" s="20">
        <f t="shared" si="0"/>
        <v>0</v>
      </c>
      <c r="I21" s="9"/>
      <c r="J21" s="20">
        <f>I21+июнь!J21</f>
        <v>0</v>
      </c>
      <c r="K21" s="8"/>
      <c r="L21" s="19">
        <f>K21+июнь!L21</f>
        <v>0</v>
      </c>
    </row>
    <row r="22" spans="1:12" ht="12.75" customHeight="1">
      <c r="A22" s="1">
        <f t="shared" si="1"/>
        <v>20</v>
      </c>
      <c r="B22" s="39" t="str">
        <f>июнь!B22</f>
        <v>Гор. Водоснабж. (о/д нужды)</v>
      </c>
      <c r="C22" s="8">
        <f>200.06+993.05</f>
        <v>1193.1099999999999</v>
      </c>
      <c r="D22" s="19">
        <f>C22+июнь!D22</f>
        <v>13685.18</v>
      </c>
      <c r="E22" s="9">
        <f>129.64+929.75</f>
        <v>1059.3899999999999</v>
      </c>
      <c r="F22" s="19">
        <f>E22+июнь!F22</f>
        <v>13705.579999999998</v>
      </c>
      <c r="G22" s="19">
        <f t="shared" si="0"/>
        <v>-133.72000000000003</v>
      </c>
      <c r="H22" s="20">
        <f t="shared" si="0"/>
        <v>20.399999999997817</v>
      </c>
      <c r="I22" s="9"/>
      <c r="J22" s="20">
        <f>I22+июнь!J22</f>
        <v>0</v>
      </c>
      <c r="K22" s="8"/>
      <c r="L22" s="19">
        <f>K22+июнь!L22</f>
        <v>0</v>
      </c>
    </row>
    <row r="23" spans="1:12">
      <c r="A23" s="1"/>
      <c r="B23" s="18" t="s">
        <v>12</v>
      </c>
      <c r="C23" s="19">
        <f t="shared" ref="C23:L23" si="2">SUM(C3:C22)</f>
        <v>138095.69999999998</v>
      </c>
      <c r="D23" s="19">
        <f t="shared" si="2"/>
        <v>1195080.24</v>
      </c>
      <c r="E23" s="20">
        <f t="shared" si="2"/>
        <v>119046.94999999998</v>
      </c>
      <c r="F23" s="19">
        <f t="shared" si="2"/>
        <v>1136869.8</v>
      </c>
      <c r="G23" s="19">
        <f t="shared" si="2"/>
        <v>-19048.749999999996</v>
      </c>
      <c r="H23" s="20">
        <f t="shared" si="2"/>
        <v>-58210.44000000009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4" spans="1:12" ht="6" customHeight="1"/>
    <row r="25" spans="1:12" hidden="1"/>
    <row r="26" spans="1:12">
      <c r="B26" s="1" t="s">
        <v>37</v>
      </c>
      <c r="C26" s="9">
        <f>C9+C10+C11+C15+C17+C18</f>
        <v>25726.039999999997</v>
      </c>
      <c r="D26" s="9">
        <f t="shared" ref="D26:J26" si="3">D9+D10+D11+D15+D17+D18</f>
        <v>173684.74</v>
      </c>
      <c r="E26" s="9">
        <f t="shared" si="3"/>
        <v>19236.730000000003</v>
      </c>
      <c r="F26" s="9">
        <f t="shared" si="3"/>
        <v>149611.31</v>
      </c>
      <c r="G26" s="9">
        <f t="shared" si="3"/>
        <v>-6489.3099999999968</v>
      </c>
      <c r="H26" s="9">
        <f t="shared" si="3"/>
        <v>-24073.429999999993</v>
      </c>
      <c r="I26" s="9">
        <f t="shared" si="3"/>
        <v>0</v>
      </c>
      <c r="J26" s="9">
        <f t="shared" si="3"/>
        <v>0</v>
      </c>
    </row>
    <row r="27" spans="1:12">
      <c r="B27" s="1" t="s">
        <v>38</v>
      </c>
      <c r="C27" s="9">
        <f>C8+C20</f>
        <v>40376.18</v>
      </c>
      <c r="D27" s="9">
        <f t="shared" ref="D27:J27" si="4">D8+D20</f>
        <v>250667.56</v>
      </c>
      <c r="E27" s="9">
        <f t="shared" si="4"/>
        <v>28841.489999999998</v>
      </c>
      <c r="F27" s="9">
        <f t="shared" si="4"/>
        <v>227891.69999999998</v>
      </c>
      <c r="G27" s="9">
        <f t="shared" si="4"/>
        <v>-11534.690000000002</v>
      </c>
      <c r="H27" s="9">
        <f t="shared" si="4"/>
        <v>-22775.860000000008</v>
      </c>
      <c r="I27" s="9">
        <f t="shared" si="4"/>
        <v>0</v>
      </c>
      <c r="J27" s="9">
        <f t="shared" si="4"/>
        <v>0</v>
      </c>
    </row>
    <row r="28" spans="1:12">
      <c r="B28" s="1" t="s">
        <v>39</v>
      </c>
      <c r="C28" s="9">
        <f>C4+C5+C19+C22</f>
        <v>29422.23</v>
      </c>
      <c r="D28" s="9">
        <f t="shared" ref="D28:J28" si="5">D4+D5+D19+D22</f>
        <v>483506.63000000006</v>
      </c>
      <c r="E28" s="9">
        <f t="shared" si="5"/>
        <v>32912.32</v>
      </c>
      <c r="F28" s="9">
        <f t="shared" si="5"/>
        <v>494492.98</v>
      </c>
      <c r="G28" s="9">
        <f t="shared" si="5"/>
        <v>3490.0900000000011</v>
      </c>
      <c r="H28" s="9">
        <f t="shared" si="5"/>
        <v>10986.349999999893</v>
      </c>
      <c r="I28" s="9">
        <f t="shared" si="5"/>
        <v>0</v>
      </c>
      <c r="J28" s="9">
        <f t="shared" si="5"/>
        <v>0</v>
      </c>
    </row>
    <row r="31" spans="1:12">
      <c r="C31">
        <f>22374.52+115721.18</f>
        <v>138095.69999999998</v>
      </c>
      <c r="E31">
        <f>17457.68+101589.27</f>
        <v>119046.95000000001</v>
      </c>
    </row>
    <row r="35" spans="5:6">
      <c r="E35" s="11"/>
      <c r="F35" s="11"/>
    </row>
  </sheetData>
  <mergeCells count="1">
    <mergeCell ref="B1:C1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E36" sqref="E36"/>
    </sheetView>
  </sheetViews>
  <sheetFormatPr defaultRowHeight="12.75"/>
  <cols>
    <col min="1" max="1" width="4.42578125" customWidth="1"/>
    <col min="2" max="2" width="31.140625" customWidth="1"/>
    <col min="3" max="4" width="12.42578125" customWidth="1"/>
    <col min="5" max="5" width="13.140625" customWidth="1"/>
    <col min="6" max="6" width="12.85546875" customWidth="1"/>
    <col min="7" max="7" width="9.7109375" bestFit="1" customWidth="1"/>
    <col min="8" max="8" width="12.42578125" customWidth="1"/>
    <col min="9" max="9" width="9.28515625" bestFit="1" customWidth="1"/>
    <col min="10" max="10" width="11.85546875" customWidth="1"/>
    <col min="11" max="11" width="9.28515625" bestFit="1" customWidth="1"/>
    <col min="12" max="12" width="12.5703125" customWidth="1"/>
  </cols>
  <sheetData>
    <row r="1" spans="1:13" s="43" customFormat="1" ht="27.75" customHeight="1">
      <c r="B1" s="89" t="s">
        <v>19</v>
      </c>
      <c r="C1" s="90"/>
      <c r="D1" s="72" t="s">
        <v>51</v>
      </c>
    </row>
    <row r="2" spans="1:13" s="50" customFormat="1" ht="25.5">
      <c r="A2" s="44" t="s">
        <v>0</v>
      </c>
      <c r="B2" s="45" t="s">
        <v>1</v>
      </c>
      <c r="C2" s="46" t="s">
        <v>2</v>
      </c>
      <c r="D2" s="47" t="s">
        <v>3</v>
      </c>
      <c r="E2" s="48" t="s">
        <v>4</v>
      </c>
      <c r="F2" s="47" t="s">
        <v>5</v>
      </c>
      <c r="G2" s="47" t="s">
        <v>6</v>
      </c>
      <c r="H2" s="49" t="s">
        <v>7</v>
      </c>
      <c r="I2" s="48" t="s">
        <v>8</v>
      </c>
      <c r="J2" s="49" t="s">
        <v>9</v>
      </c>
      <c r="K2" s="45" t="s">
        <v>10</v>
      </c>
      <c r="L2" s="47" t="s">
        <v>11</v>
      </c>
    </row>
    <row r="3" spans="1:13" s="43" customFormat="1">
      <c r="A3" s="51">
        <v>1</v>
      </c>
      <c r="B3" s="52" t="str">
        <f>июль!B3</f>
        <v>Содержание общ.имущ.дома</v>
      </c>
      <c r="C3" s="53">
        <f>17740.4+3592.59</f>
        <v>21332.99</v>
      </c>
      <c r="D3" s="54">
        <f>C3+июль!D3</f>
        <v>164813.44</v>
      </c>
      <c r="E3" s="55">
        <f>16622.05+3022.13</f>
        <v>19644.18</v>
      </c>
      <c r="F3" s="54">
        <f>E3+июль!F3</f>
        <v>151840.70000000001</v>
      </c>
      <c r="G3" s="54">
        <f>E3-C3</f>
        <v>-1688.8100000000013</v>
      </c>
      <c r="H3" s="56">
        <f>F3-D3</f>
        <v>-12972.739999999991</v>
      </c>
      <c r="I3" s="55"/>
      <c r="J3" s="56">
        <f>I3+июль!J3</f>
        <v>0</v>
      </c>
      <c r="K3" s="53"/>
      <c r="L3" s="54">
        <f>K3+июль!L3</f>
        <v>0</v>
      </c>
    </row>
    <row r="4" spans="1:13" s="43" customFormat="1">
      <c r="A4" s="51">
        <f>A3+1</f>
        <v>2</v>
      </c>
      <c r="B4" s="52" t="str">
        <f>июль!B4</f>
        <v>Отопление</v>
      </c>
      <c r="C4" s="53">
        <v>0</v>
      </c>
      <c r="D4" s="54">
        <f>C4+июль!D4</f>
        <v>293669.12000000005</v>
      </c>
      <c r="E4" s="55">
        <f>3450.59+642.55</f>
        <v>4093.1400000000003</v>
      </c>
      <c r="F4" s="54">
        <f>E4+июль!F4</f>
        <v>335966.8</v>
      </c>
      <c r="G4" s="54">
        <f t="shared" ref="G4:H22" si="0">E4-C4</f>
        <v>4093.1400000000003</v>
      </c>
      <c r="H4" s="56">
        <f t="shared" si="0"/>
        <v>42297.679999999935</v>
      </c>
      <c r="I4" s="55"/>
      <c r="J4" s="56">
        <f>I4+июль!J4</f>
        <v>0</v>
      </c>
      <c r="K4" s="53"/>
      <c r="L4" s="54">
        <f>K4+июль!L4</f>
        <v>0</v>
      </c>
      <c r="M4" s="57">
        <f>L4-J4</f>
        <v>0</v>
      </c>
    </row>
    <row r="5" spans="1:13" s="43" customFormat="1" ht="13.5" customHeight="1">
      <c r="A5" s="51">
        <f t="shared" ref="A5:A22" si="1">A4+1</f>
        <v>3</v>
      </c>
      <c r="B5" s="52" t="str">
        <f>июль!B5</f>
        <v>Горячее водоснабжение</v>
      </c>
      <c r="C5" s="53">
        <f>9114.82-740.56</f>
        <v>8374.26</v>
      </c>
      <c r="D5" s="54">
        <f>C5+июль!D5</f>
        <v>184526.59000000003</v>
      </c>
      <c r="E5" s="55">
        <f>21903.14+2491.36</f>
        <v>24394.5</v>
      </c>
      <c r="F5" s="54">
        <f>E5+июль!F5</f>
        <v>173308.24</v>
      </c>
      <c r="G5" s="54">
        <f t="shared" si="0"/>
        <v>16020.24</v>
      </c>
      <c r="H5" s="56">
        <f t="shared" si="0"/>
        <v>-11218.350000000035</v>
      </c>
      <c r="I5" s="55"/>
      <c r="J5" s="56">
        <f>I5+июль!J5</f>
        <v>0</v>
      </c>
      <c r="K5" s="53"/>
      <c r="L5" s="54">
        <f>K5+июль!L5</f>
        <v>0</v>
      </c>
    </row>
    <row r="6" spans="1:13" s="43" customFormat="1">
      <c r="A6" s="51">
        <f t="shared" si="1"/>
        <v>4</v>
      </c>
      <c r="B6" s="52" t="str">
        <f>июль!B6</f>
        <v>Газ</v>
      </c>
      <c r="C6" s="53">
        <v>0</v>
      </c>
      <c r="D6" s="54">
        <f>C6+июль!D6</f>
        <v>0</v>
      </c>
      <c r="E6" s="55">
        <v>0</v>
      </c>
      <c r="F6" s="54">
        <f>E6+июль!F6</f>
        <v>0</v>
      </c>
      <c r="G6" s="54">
        <f t="shared" si="0"/>
        <v>0</v>
      </c>
      <c r="H6" s="56">
        <f t="shared" si="0"/>
        <v>0</v>
      </c>
      <c r="I6" s="55"/>
      <c r="J6" s="56">
        <f>I6+июль!J6</f>
        <v>0</v>
      </c>
      <c r="K6" s="53"/>
      <c r="L6" s="54">
        <f>K6+июль!L6</f>
        <v>0</v>
      </c>
    </row>
    <row r="7" spans="1:13" s="43" customFormat="1" ht="15" customHeight="1">
      <c r="A7" s="51">
        <f t="shared" si="1"/>
        <v>5</v>
      </c>
      <c r="B7" s="52" t="str">
        <f>июль!B7</f>
        <v>Уборка и сан.очистка зем.уч.</v>
      </c>
      <c r="C7" s="53">
        <f>2674.62+541.64</f>
        <v>3216.2599999999998</v>
      </c>
      <c r="D7" s="54">
        <f>C7+июль!D7</f>
        <v>25216.719999999998</v>
      </c>
      <c r="E7" s="55">
        <f>2510.64+456.31</f>
        <v>2966.95</v>
      </c>
      <c r="F7" s="54">
        <f>E7+июль!F7</f>
        <v>23237.99</v>
      </c>
      <c r="G7" s="54">
        <f t="shared" si="0"/>
        <v>-249.30999999999995</v>
      </c>
      <c r="H7" s="56">
        <f t="shared" si="0"/>
        <v>-1978.7299999999959</v>
      </c>
      <c r="I7" s="55"/>
      <c r="J7" s="56">
        <f>I7+июль!J7</f>
        <v>0</v>
      </c>
      <c r="K7" s="53"/>
      <c r="L7" s="54">
        <f>K7+июль!L7</f>
        <v>0</v>
      </c>
    </row>
    <row r="8" spans="1:13" s="43" customFormat="1" ht="15" customHeight="1">
      <c r="A8" s="51">
        <f t="shared" si="1"/>
        <v>6</v>
      </c>
      <c r="B8" s="52" t="str">
        <f>июль!B8</f>
        <v>Электроснабжение(инд.потр)</v>
      </c>
      <c r="C8" s="53">
        <f>22595.52+4910.01</f>
        <v>27505.53</v>
      </c>
      <c r="D8" s="54">
        <f>C8+июль!D8</f>
        <v>211994.46</v>
      </c>
      <c r="E8" s="55">
        <f>22681.47+3896.34</f>
        <v>26577.81</v>
      </c>
      <c r="F8" s="54">
        <f>E8+июль!F8</f>
        <v>192174.43999999997</v>
      </c>
      <c r="G8" s="54">
        <f t="shared" si="0"/>
        <v>-927.71999999999753</v>
      </c>
      <c r="H8" s="56">
        <f t="shared" si="0"/>
        <v>-19820.020000000019</v>
      </c>
      <c r="I8" s="55"/>
      <c r="J8" s="56">
        <f>I8+июль!J8</f>
        <v>0</v>
      </c>
      <c r="K8" s="53"/>
      <c r="L8" s="54">
        <f>K8+июль!L8</f>
        <v>0</v>
      </c>
    </row>
    <row r="9" spans="1:13" s="43" customFormat="1">
      <c r="A9" s="51">
        <f t="shared" si="1"/>
        <v>7</v>
      </c>
      <c r="B9" s="52" t="str">
        <f>июль!B9</f>
        <v>Холодная вода</v>
      </c>
      <c r="C9" s="53">
        <f>4924.65-304.58</f>
        <v>4620.07</v>
      </c>
      <c r="D9" s="54">
        <f>C9+июль!D9</f>
        <v>65030.85</v>
      </c>
      <c r="E9" s="55">
        <f>6980.95+1350.32</f>
        <v>8331.27</v>
      </c>
      <c r="F9" s="54">
        <f>E9+июль!F9</f>
        <v>60834.09</v>
      </c>
      <c r="G9" s="54">
        <f t="shared" si="0"/>
        <v>3711.2000000000007</v>
      </c>
      <c r="H9" s="56">
        <f t="shared" si="0"/>
        <v>-4196.760000000002</v>
      </c>
      <c r="I9" s="55"/>
      <c r="J9" s="56">
        <f>I9+июль!J9</f>
        <v>0</v>
      </c>
      <c r="K9" s="53"/>
      <c r="L9" s="54">
        <f>K9+июль!L9</f>
        <v>0</v>
      </c>
    </row>
    <row r="10" spans="1:13" s="43" customFormat="1" ht="12" customHeight="1">
      <c r="A10" s="51">
        <f t="shared" si="1"/>
        <v>8</v>
      </c>
      <c r="B10" s="52" t="str">
        <f>июль!B10</f>
        <v>Канализирование х.воды</v>
      </c>
      <c r="C10" s="53">
        <v>0</v>
      </c>
      <c r="D10" s="54">
        <f>C10+июль!D10</f>
        <v>0</v>
      </c>
      <c r="E10" s="55">
        <v>0</v>
      </c>
      <c r="F10" s="54">
        <f>E10+июль!F10</f>
        <v>0</v>
      </c>
      <c r="G10" s="54">
        <f t="shared" si="0"/>
        <v>0</v>
      </c>
      <c r="H10" s="56">
        <f t="shared" si="0"/>
        <v>0</v>
      </c>
      <c r="I10" s="55"/>
      <c r="J10" s="56">
        <f>I10+июль!J10</f>
        <v>0</v>
      </c>
      <c r="K10" s="53"/>
      <c r="L10" s="54">
        <f>K10+июль!L10</f>
        <v>0</v>
      </c>
    </row>
    <row r="11" spans="1:13" s="43" customFormat="1" ht="12" customHeight="1">
      <c r="A11" s="51">
        <f t="shared" si="1"/>
        <v>9</v>
      </c>
      <c r="B11" s="52" t="str">
        <f>июль!B11</f>
        <v>Канализирование г.воды</v>
      </c>
      <c r="C11" s="53">
        <v>0</v>
      </c>
      <c r="D11" s="54">
        <f>C11+июль!D11</f>
        <v>0</v>
      </c>
      <c r="E11" s="55">
        <v>0</v>
      </c>
      <c r="F11" s="54">
        <f>E11+июль!F11</f>
        <v>0</v>
      </c>
      <c r="G11" s="54">
        <f t="shared" si="0"/>
        <v>0</v>
      </c>
      <c r="H11" s="56">
        <f t="shared" si="0"/>
        <v>0</v>
      </c>
      <c r="I11" s="55"/>
      <c r="J11" s="56">
        <f>I11+июль!J11</f>
        <v>0</v>
      </c>
      <c r="K11" s="53"/>
      <c r="L11" s="54">
        <f>K11+июль!L11</f>
        <v>0</v>
      </c>
    </row>
    <row r="12" spans="1:13" s="43" customFormat="1" ht="15.75" customHeight="1">
      <c r="A12" s="51">
        <f t="shared" si="1"/>
        <v>10</v>
      </c>
      <c r="B12" s="52" t="str">
        <f>июль!B12</f>
        <v>Тек.рем.общ.имущ.дома</v>
      </c>
      <c r="C12" s="53">
        <f>8834.69+1789.09</f>
        <v>10623.78</v>
      </c>
      <c r="D12" s="54">
        <f>C12+июль!D12</f>
        <v>84990.239999999991</v>
      </c>
      <c r="E12" s="55">
        <f>8314.39+1510.45</f>
        <v>9824.84</v>
      </c>
      <c r="F12" s="54">
        <f>E12+июль!F12</f>
        <v>78750.76999999999</v>
      </c>
      <c r="G12" s="54">
        <f t="shared" si="0"/>
        <v>-798.94000000000051</v>
      </c>
      <c r="H12" s="56">
        <f t="shared" si="0"/>
        <v>-6239.4700000000012</v>
      </c>
      <c r="I12" s="55"/>
      <c r="J12" s="56">
        <f>I12+июль!J12</f>
        <v>0</v>
      </c>
      <c r="K12" s="53"/>
      <c r="L12" s="54">
        <f>K12+июль!L12</f>
        <v>0</v>
      </c>
    </row>
    <row r="13" spans="1:13" s="43" customFormat="1" ht="15.75" customHeight="1">
      <c r="A13" s="51">
        <f t="shared" si="1"/>
        <v>11</v>
      </c>
      <c r="B13" s="52" t="str">
        <f>июль!B13</f>
        <v>Сод.и тек.рем.в/дом.газосн</v>
      </c>
      <c r="C13" s="53">
        <f>951.95+184.86</f>
        <v>1136.81</v>
      </c>
      <c r="D13" s="54">
        <f>C13+июль!D13</f>
        <v>9094.4799999999977</v>
      </c>
      <c r="E13" s="55">
        <f>910.43+165.39</f>
        <v>1075.82</v>
      </c>
      <c r="F13" s="54">
        <f>E13+июль!F13</f>
        <v>8440.7000000000007</v>
      </c>
      <c r="G13" s="54">
        <f t="shared" si="0"/>
        <v>-60.990000000000009</v>
      </c>
      <c r="H13" s="56">
        <f t="shared" si="0"/>
        <v>-653.77999999999702</v>
      </c>
      <c r="I13" s="55"/>
      <c r="J13" s="56">
        <f>I13+июль!J13</f>
        <v>0</v>
      </c>
      <c r="K13" s="53"/>
      <c r="L13" s="54">
        <f>K13+июль!L13</f>
        <v>0</v>
      </c>
    </row>
    <row r="14" spans="1:13" s="43" customFormat="1" ht="15.75" customHeight="1">
      <c r="A14" s="51">
        <f t="shared" si="1"/>
        <v>12</v>
      </c>
      <c r="B14" s="52" t="str">
        <f>июль!B14</f>
        <v>Управление многокв.домом</v>
      </c>
      <c r="C14" s="53">
        <f>4267.95+864.3</f>
        <v>5132.25</v>
      </c>
      <c r="D14" s="54">
        <f>C14+июль!D14</f>
        <v>36644.400000000001</v>
      </c>
      <c r="E14" s="55">
        <f>3961.08+721.45</f>
        <v>4682.53</v>
      </c>
      <c r="F14" s="54">
        <f>E14+июль!F14</f>
        <v>33487.520000000004</v>
      </c>
      <c r="G14" s="54">
        <f t="shared" si="0"/>
        <v>-449.72000000000025</v>
      </c>
      <c r="H14" s="56">
        <f t="shared" si="0"/>
        <v>-3156.8799999999974</v>
      </c>
      <c r="I14" s="55"/>
      <c r="J14" s="56">
        <f>I14+июль!J14</f>
        <v>0</v>
      </c>
      <c r="K14" s="53"/>
      <c r="L14" s="54">
        <f>K14+июль!L14</f>
        <v>0</v>
      </c>
    </row>
    <row r="15" spans="1:13" s="43" customFormat="1">
      <c r="A15" s="51">
        <f t="shared" si="1"/>
        <v>13</v>
      </c>
      <c r="B15" s="52" t="str">
        <f>июль!B15</f>
        <v>Водоотведение(кв)</v>
      </c>
      <c r="C15" s="53">
        <f>7545.96-505.52</f>
        <v>7040.4400000000005</v>
      </c>
      <c r="D15" s="54">
        <f>C15+июль!D15</f>
        <v>116673.94</v>
      </c>
      <c r="E15" s="55">
        <f>13233.39+2061.29</f>
        <v>15294.68</v>
      </c>
      <c r="F15" s="54">
        <f>E15+июль!F15</f>
        <v>109024.17000000001</v>
      </c>
      <c r="G15" s="54">
        <f t="shared" si="0"/>
        <v>8254.24</v>
      </c>
      <c r="H15" s="56">
        <f t="shared" si="0"/>
        <v>-7649.7699999999895</v>
      </c>
      <c r="I15" s="55"/>
      <c r="J15" s="56">
        <f>I15+июль!J15</f>
        <v>0</v>
      </c>
      <c r="K15" s="53"/>
      <c r="L15" s="54">
        <f>K15+июль!L15</f>
        <v>0</v>
      </c>
    </row>
    <row r="16" spans="1:13" s="43" customFormat="1">
      <c r="A16" s="51">
        <f t="shared" si="1"/>
        <v>14</v>
      </c>
      <c r="B16" s="52" t="str">
        <f>июль!B16</f>
        <v>Эксплуатация общед.ПУ</v>
      </c>
      <c r="C16" s="53">
        <f>938.99+190.17</f>
        <v>1129.1600000000001</v>
      </c>
      <c r="D16" s="54">
        <f>C16+июль!D16</f>
        <v>9033.2800000000007</v>
      </c>
      <c r="E16" s="55">
        <f>883.71+160.54</f>
        <v>1044.25</v>
      </c>
      <c r="F16" s="54">
        <f>E16+июль!F16</f>
        <v>8354.7000000000007</v>
      </c>
      <c r="G16" s="54">
        <f t="shared" si="0"/>
        <v>-84.910000000000082</v>
      </c>
      <c r="H16" s="56">
        <f t="shared" si="0"/>
        <v>-678.57999999999993</v>
      </c>
      <c r="I16" s="55"/>
      <c r="J16" s="56">
        <f>I16+июль!J16</f>
        <v>0</v>
      </c>
      <c r="K16" s="53"/>
      <c r="L16" s="54">
        <f>K16+июль!L16</f>
        <v>0</v>
      </c>
    </row>
    <row r="17" spans="1:12" s="43" customFormat="1">
      <c r="A17" s="51">
        <f t="shared" si="1"/>
        <v>15</v>
      </c>
      <c r="B17" s="52" t="str">
        <f>июль!B17</f>
        <v>Хол. водоснаб(о/д нужды)</v>
      </c>
      <c r="C17" s="53">
        <f>459.71+93.27</f>
        <v>552.98</v>
      </c>
      <c r="D17" s="54">
        <f>C17+июль!D17</f>
        <v>4193.4400000000005</v>
      </c>
      <c r="E17" s="55">
        <f>429.47+78.46</f>
        <v>507.93</v>
      </c>
      <c r="F17" s="54">
        <f>E17+июль!F17</f>
        <v>3886.9300000000003</v>
      </c>
      <c r="G17" s="54">
        <f t="shared" si="0"/>
        <v>-45.050000000000011</v>
      </c>
      <c r="H17" s="56">
        <f t="shared" si="0"/>
        <v>-306.51000000000022</v>
      </c>
      <c r="I17" s="55"/>
      <c r="J17" s="56">
        <f>I17+июль!J17</f>
        <v>0</v>
      </c>
      <c r="K17" s="53"/>
      <c r="L17" s="54">
        <f>K17+июль!L17</f>
        <v>0</v>
      </c>
    </row>
    <row r="18" spans="1:12" s="43" customFormat="1" ht="14.25" customHeight="1">
      <c r="A18" s="51">
        <f t="shared" si="1"/>
        <v>16</v>
      </c>
      <c r="B18" s="52" t="str">
        <f>июль!B18</f>
        <v>Водоотведение(о/д нужды)</v>
      </c>
      <c r="C18" s="53">
        <v>0</v>
      </c>
      <c r="D18" s="54">
        <f>C18+июль!D18</f>
        <v>0</v>
      </c>
      <c r="E18" s="55">
        <v>0</v>
      </c>
      <c r="F18" s="54">
        <f>E18+июль!F18</f>
        <v>0</v>
      </c>
      <c r="G18" s="54">
        <f t="shared" si="0"/>
        <v>0</v>
      </c>
      <c r="H18" s="56">
        <f t="shared" si="0"/>
        <v>0</v>
      </c>
      <c r="I18" s="55"/>
      <c r="J18" s="56">
        <f>I18+июль!J18</f>
        <v>0</v>
      </c>
      <c r="K18" s="53"/>
      <c r="L18" s="54">
        <f>K18+июль!L18</f>
        <v>0</v>
      </c>
    </row>
    <row r="19" spans="1:12" s="43" customFormat="1">
      <c r="A19" s="51">
        <f t="shared" si="1"/>
        <v>17</v>
      </c>
      <c r="B19" s="52" t="str">
        <f>июль!B19</f>
        <v>Отопление(о/д нужды)</v>
      </c>
      <c r="C19" s="53">
        <v>0</v>
      </c>
      <c r="D19" s="54">
        <f>C19+июль!D19</f>
        <v>0</v>
      </c>
      <c r="E19" s="55">
        <v>0</v>
      </c>
      <c r="F19" s="54">
        <f>E19+июль!F19</f>
        <v>0</v>
      </c>
      <c r="G19" s="54">
        <f t="shared" si="0"/>
        <v>0</v>
      </c>
      <c r="H19" s="56">
        <f t="shared" si="0"/>
        <v>0</v>
      </c>
      <c r="I19" s="55"/>
      <c r="J19" s="56">
        <f>I19+июль!J19</f>
        <v>0</v>
      </c>
      <c r="K19" s="53"/>
      <c r="L19" s="54">
        <f>K19+июль!L19</f>
        <v>0</v>
      </c>
    </row>
    <row r="20" spans="1:12" s="43" customFormat="1" ht="13.5" customHeight="1">
      <c r="A20" s="51">
        <f t="shared" si="1"/>
        <v>18</v>
      </c>
      <c r="B20" s="52" t="str">
        <f>июль!B20</f>
        <v>Электроснабжение(общед.нужды)</v>
      </c>
      <c r="C20" s="53">
        <f>4673.71+484.24+1791.92</f>
        <v>6949.87</v>
      </c>
      <c r="D20" s="54">
        <f>C20+июль!D20</f>
        <v>73128.499999999985</v>
      </c>
      <c r="E20" s="55">
        <f>6533.26+1904.7+2131.78</f>
        <v>10569.740000000002</v>
      </c>
      <c r="F20" s="54">
        <f>E20+июль!F20</f>
        <v>72864.81</v>
      </c>
      <c r="G20" s="54">
        <f t="shared" si="0"/>
        <v>3619.8700000000017</v>
      </c>
      <c r="H20" s="56">
        <f t="shared" si="0"/>
        <v>-263.68999999998778</v>
      </c>
      <c r="I20" s="55"/>
      <c r="J20" s="56">
        <f>I20+июль!J20</f>
        <v>0</v>
      </c>
      <c r="K20" s="53"/>
      <c r="L20" s="54">
        <f>K20+июль!L20</f>
        <v>0</v>
      </c>
    </row>
    <row r="21" spans="1:12" s="43" customFormat="1">
      <c r="A21" s="51">
        <f t="shared" si="1"/>
        <v>19</v>
      </c>
      <c r="B21" s="52" t="str">
        <f>июль!B21</f>
        <v>Капитальный ремонт</v>
      </c>
      <c r="C21" s="53">
        <v>0</v>
      </c>
      <c r="D21" s="54">
        <f>C21+июль!D21</f>
        <v>0</v>
      </c>
      <c r="E21" s="55">
        <v>0</v>
      </c>
      <c r="F21" s="54">
        <f>E21+июль!F21</f>
        <v>0</v>
      </c>
      <c r="G21" s="54">
        <f t="shared" si="0"/>
        <v>0</v>
      </c>
      <c r="H21" s="56">
        <f t="shared" si="0"/>
        <v>0</v>
      </c>
      <c r="I21" s="55"/>
      <c r="J21" s="56">
        <f>I21+июль!J21</f>
        <v>0</v>
      </c>
      <c r="K21" s="53"/>
      <c r="L21" s="54">
        <f>K21+июль!L21</f>
        <v>0</v>
      </c>
    </row>
    <row r="22" spans="1:12" s="43" customFormat="1" ht="15.75" customHeight="1">
      <c r="A22" s="51">
        <f t="shared" si="1"/>
        <v>20</v>
      </c>
      <c r="B22" s="52" t="str">
        <f>июль!B22</f>
        <v>Гор. Водоснабж. (о/д нужды)</v>
      </c>
      <c r="C22" s="53">
        <f>993.05+200.06</f>
        <v>1193.1099999999999</v>
      </c>
      <c r="D22" s="54">
        <f>C22+июль!D22</f>
        <v>14878.29</v>
      </c>
      <c r="E22" s="55">
        <f>929.84+168.62</f>
        <v>1098.46</v>
      </c>
      <c r="F22" s="54">
        <f>E22+июль!F22</f>
        <v>14804.039999999997</v>
      </c>
      <c r="G22" s="54">
        <f t="shared" si="0"/>
        <v>-94.649999999999864</v>
      </c>
      <c r="H22" s="56">
        <f t="shared" si="0"/>
        <v>-74.250000000003638</v>
      </c>
      <c r="I22" s="55"/>
      <c r="J22" s="56">
        <f>I22+июль!J22</f>
        <v>0</v>
      </c>
      <c r="K22" s="53"/>
      <c r="L22" s="54">
        <f>K22+июль!L22</f>
        <v>0</v>
      </c>
    </row>
    <row r="23" spans="1:12" s="43" customFormat="1">
      <c r="A23" s="58"/>
      <c r="B23" s="59" t="s">
        <v>12</v>
      </c>
      <c r="C23" s="62">
        <f t="shared" ref="C23:L23" si="2">SUM(C3:C22)</f>
        <v>98807.51</v>
      </c>
      <c r="D23" s="54">
        <f t="shared" si="2"/>
        <v>1293887.75</v>
      </c>
      <c r="E23" s="63">
        <f t="shared" si="2"/>
        <v>130106.1</v>
      </c>
      <c r="F23" s="54">
        <f t="shared" si="2"/>
        <v>1266975.8999999997</v>
      </c>
      <c r="G23" s="54">
        <f t="shared" si="2"/>
        <v>31298.590000000004</v>
      </c>
      <c r="H23" s="56">
        <f t="shared" si="2"/>
        <v>-26911.850000000089</v>
      </c>
      <c r="I23" s="56">
        <f t="shared" si="2"/>
        <v>0</v>
      </c>
      <c r="J23" s="56">
        <f t="shared" si="2"/>
        <v>0</v>
      </c>
      <c r="K23" s="54">
        <f t="shared" si="2"/>
        <v>0</v>
      </c>
      <c r="L23" s="54">
        <f t="shared" si="2"/>
        <v>0</v>
      </c>
    </row>
    <row r="24" spans="1:12" s="43" customFormat="1" ht="10.5" customHeight="1"/>
    <row r="25" spans="1:12" s="43" customFormat="1" hidden="1"/>
    <row r="26" spans="1:12" s="43" customFormat="1">
      <c r="B26" s="51" t="s">
        <v>37</v>
      </c>
      <c r="C26" s="55">
        <f>C9+C10+C11+C15+C17+C18</f>
        <v>12213.49</v>
      </c>
      <c r="D26" s="55">
        <f t="shared" ref="D26:J26" si="3">D9+D10+D11+D15+D17+D18</f>
        <v>185898.23</v>
      </c>
      <c r="E26" s="55">
        <f t="shared" si="3"/>
        <v>24133.88</v>
      </c>
      <c r="F26" s="55">
        <f t="shared" si="3"/>
        <v>173745.19</v>
      </c>
      <c r="G26" s="55">
        <f t="shared" si="3"/>
        <v>11920.390000000001</v>
      </c>
      <c r="H26" s="55">
        <f t="shared" si="3"/>
        <v>-12153.039999999992</v>
      </c>
      <c r="I26" s="55">
        <f t="shared" si="3"/>
        <v>0</v>
      </c>
      <c r="J26" s="55">
        <f t="shared" si="3"/>
        <v>0</v>
      </c>
    </row>
    <row r="27" spans="1:12" s="43" customFormat="1">
      <c r="B27" s="51" t="s">
        <v>38</v>
      </c>
      <c r="C27" s="55">
        <f>C8+C20</f>
        <v>34455.4</v>
      </c>
      <c r="D27" s="55">
        <f t="shared" ref="D27:J27" si="4">D8+D20</f>
        <v>285122.95999999996</v>
      </c>
      <c r="E27" s="55">
        <f t="shared" si="4"/>
        <v>37147.550000000003</v>
      </c>
      <c r="F27" s="55">
        <f t="shared" si="4"/>
        <v>265039.25</v>
      </c>
      <c r="G27" s="55">
        <f t="shared" si="4"/>
        <v>2692.1500000000042</v>
      </c>
      <c r="H27" s="55">
        <f t="shared" si="4"/>
        <v>-20083.710000000006</v>
      </c>
      <c r="I27" s="55">
        <f t="shared" si="4"/>
        <v>0</v>
      </c>
      <c r="J27" s="55">
        <f t="shared" si="4"/>
        <v>0</v>
      </c>
    </row>
    <row r="28" spans="1:12" s="43" customFormat="1">
      <c r="B28" s="51" t="s">
        <v>39</v>
      </c>
      <c r="C28" s="55">
        <f>C4+C5+C19+C22</f>
        <v>9567.3700000000008</v>
      </c>
      <c r="D28" s="55">
        <f t="shared" ref="D28:J28" si="5">D4+D5+D19+D22</f>
        <v>493074.00000000006</v>
      </c>
      <c r="E28" s="55">
        <f t="shared" si="5"/>
        <v>29586.1</v>
      </c>
      <c r="F28" s="55">
        <f t="shared" si="5"/>
        <v>524079.07999999996</v>
      </c>
      <c r="G28" s="55">
        <f t="shared" si="5"/>
        <v>20018.73</v>
      </c>
      <c r="H28" s="55">
        <f t="shared" si="5"/>
        <v>31005.079999999896</v>
      </c>
      <c r="I28" s="55">
        <f t="shared" si="5"/>
        <v>0</v>
      </c>
      <c r="J28" s="55">
        <f t="shared" si="5"/>
        <v>0</v>
      </c>
    </row>
    <row r="29" spans="1:12" s="43" customFormat="1"/>
    <row r="30" spans="1:12" s="43" customFormat="1"/>
    <row r="31" spans="1:12" s="43" customFormat="1">
      <c r="C31" s="43">
        <f>87507.94+11299.57</f>
        <v>98807.510000000009</v>
      </c>
      <c r="E31" s="43">
        <f>111476.19+18629.91</f>
        <v>130106.1</v>
      </c>
    </row>
    <row r="32" spans="1:12" s="43" customFormat="1"/>
    <row r="33" spans="7:8" s="43" customFormat="1"/>
    <row r="34" spans="7:8">
      <c r="G34" s="11"/>
      <c r="H34" s="11"/>
    </row>
  </sheetData>
  <mergeCells count="1">
    <mergeCell ref="B1:C1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M23" sqref="M23"/>
    </sheetView>
  </sheetViews>
  <sheetFormatPr defaultRowHeight="12.75"/>
  <cols>
    <col min="1" max="1" width="4.140625" customWidth="1"/>
    <col min="2" max="2" width="30.7109375" customWidth="1"/>
    <col min="3" max="3" width="15.28515625" customWidth="1"/>
    <col min="4" max="4" width="13.85546875" customWidth="1"/>
    <col min="5" max="5" width="13.28515625" customWidth="1"/>
    <col min="6" max="6" width="13.42578125" customWidth="1"/>
    <col min="7" max="7" width="9.7109375" bestFit="1" customWidth="1"/>
    <col min="8" max="8" width="14" customWidth="1"/>
    <col min="9" max="9" width="9.28515625" bestFit="1" customWidth="1"/>
    <col min="10" max="10" width="12" customWidth="1"/>
    <col min="11" max="11" width="11" customWidth="1"/>
    <col min="12" max="12" width="10.28515625" customWidth="1"/>
    <col min="13" max="13" width="10.140625" customWidth="1"/>
  </cols>
  <sheetData>
    <row r="1" spans="1:13" s="29" customFormat="1" ht="15" customHeight="1">
      <c r="B1" s="11" t="s">
        <v>18</v>
      </c>
      <c r="C1" s="29" t="s">
        <v>41</v>
      </c>
      <c r="D1" s="29" t="s">
        <v>52</v>
      </c>
    </row>
    <row r="2" spans="1:13" s="29" customFormat="1" ht="32.25" customHeight="1">
      <c r="A2" s="23" t="s">
        <v>0</v>
      </c>
      <c r="B2" s="24" t="s">
        <v>1</v>
      </c>
      <c r="C2" s="25" t="s">
        <v>2</v>
      </c>
      <c r="D2" s="26" t="s">
        <v>3</v>
      </c>
      <c r="E2" s="27" t="s">
        <v>4</v>
      </c>
      <c r="F2" s="26" t="s">
        <v>5</v>
      </c>
      <c r="G2" s="26" t="s">
        <v>6</v>
      </c>
      <c r="H2" s="28" t="s">
        <v>7</v>
      </c>
      <c r="I2" s="27" t="s">
        <v>8</v>
      </c>
      <c r="J2" s="28" t="s">
        <v>9</v>
      </c>
      <c r="K2" s="24" t="s">
        <v>10</v>
      </c>
      <c r="L2" s="26" t="s">
        <v>11</v>
      </c>
    </row>
    <row r="3" spans="1:13">
      <c r="A3" s="1">
        <v>1</v>
      </c>
      <c r="B3" s="39" t="str">
        <f>август!B3</f>
        <v>Содержание общ.имущ.дома</v>
      </c>
      <c r="C3" s="8">
        <f>3586.85+17712.05</f>
        <v>21298.899999999998</v>
      </c>
      <c r="D3" s="19">
        <f>C3+август!D3</f>
        <v>186112.34</v>
      </c>
      <c r="E3" s="8">
        <f>2997.9+14933.14</f>
        <v>17931.04</v>
      </c>
      <c r="F3" s="19">
        <f>E3+август!F3</f>
        <v>169771.74000000002</v>
      </c>
      <c r="G3" s="19">
        <f>E3-C3</f>
        <v>-3367.8599999999969</v>
      </c>
      <c r="H3" s="20">
        <f>F3-D3</f>
        <v>-16340.599999999977</v>
      </c>
      <c r="I3" s="9"/>
      <c r="J3" s="20">
        <f>I3+август!J3</f>
        <v>0</v>
      </c>
      <c r="K3" s="8"/>
      <c r="L3" s="19">
        <f>K3+август!L3</f>
        <v>0</v>
      </c>
    </row>
    <row r="4" spans="1:13">
      <c r="A4" s="1">
        <f>A3+1</f>
        <v>2</v>
      </c>
      <c r="B4" s="39" t="str">
        <f>август!B4</f>
        <v>Отопление</v>
      </c>
      <c r="C4" s="8">
        <v>0</v>
      </c>
      <c r="D4" s="19">
        <f>C4+август!D4</f>
        <v>293669.12000000005</v>
      </c>
      <c r="E4" s="8">
        <f>400.27+3653.01</f>
        <v>4053.28</v>
      </c>
      <c r="F4" s="19">
        <f>E4+август!F4</f>
        <v>340020.08</v>
      </c>
      <c r="G4" s="19">
        <f t="shared" ref="G4:H22" si="0">E4-C4</f>
        <v>4053.28</v>
      </c>
      <c r="H4" s="20">
        <f t="shared" si="0"/>
        <v>46350.959999999963</v>
      </c>
      <c r="I4" s="9"/>
      <c r="J4" s="20">
        <f>I4+август!J4</f>
        <v>0</v>
      </c>
      <c r="K4" s="8"/>
      <c r="L4" s="19">
        <f>K4+август!L4</f>
        <v>0</v>
      </c>
      <c r="M4" s="12">
        <f>L4-J4</f>
        <v>0</v>
      </c>
    </row>
    <row r="5" spans="1:13">
      <c r="A5" s="1">
        <f t="shared" ref="A5:A22" si="1">A4+1</f>
        <v>3</v>
      </c>
      <c r="B5" s="39" t="str">
        <f>август!B5</f>
        <v>Горячее водоснабжение</v>
      </c>
      <c r="C5" s="8">
        <f>3652.62+24073.76</f>
        <v>27726.379999999997</v>
      </c>
      <c r="D5" s="19">
        <f>C5+август!D5</f>
        <v>212252.97000000003</v>
      </c>
      <c r="E5" s="8">
        <f>-472.41+9449.52</f>
        <v>8977.11</v>
      </c>
      <c r="F5" s="19">
        <f>E5+август!F5</f>
        <v>182285.34999999998</v>
      </c>
      <c r="G5" s="19">
        <f t="shared" si="0"/>
        <v>-18749.269999999997</v>
      </c>
      <c r="H5" s="20">
        <f t="shared" si="0"/>
        <v>-29967.620000000054</v>
      </c>
      <c r="I5" s="9"/>
      <c r="J5" s="20">
        <f>I5+август!J5</f>
        <v>0</v>
      </c>
      <c r="K5" s="8"/>
      <c r="L5" s="19">
        <f>K5+август!L5</f>
        <v>0</v>
      </c>
    </row>
    <row r="6" spans="1:13">
      <c r="A6" s="1">
        <f t="shared" si="1"/>
        <v>4</v>
      </c>
      <c r="B6" s="39" t="str">
        <f>август!B6</f>
        <v>Газ</v>
      </c>
      <c r="C6" s="8">
        <f>541.64+2674.62</f>
        <v>3216.2599999999998</v>
      </c>
      <c r="D6" s="19">
        <f>C6+август!D6</f>
        <v>3216.2599999999998</v>
      </c>
      <c r="E6" s="8">
        <f>453.65+2255.53</f>
        <v>2709.1800000000003</v>
      </c>
      <c r="F6" s="19">
        <f>E6+август!F6</f>
        <v>2709.1800000000003</v>
      </c>
      <c r="G6" s="19">
        <f t="shared" si="0"/>
        <v>-507.07999999999947</v>
      </c>
      <c r="H6" s="20">
        <f t="shared" si="0"/>
        <v>-507.07999999999947</v>
      </c>
      <c r="I6" s="9"/>
      <c r="J6" s="20">
        <f>I6+август!J6</f>
        <v>0</v>
      </c>
      <c r="K6" s="8"/>
      <c r="L6" s="19">
        <f>K6+август!L6</f>
        <v>0</v>
      </c>
    </row>
    <row r="7" spans="1:13" ht="13.5" customHeight="1">
      <c r="A7" s="1">
        <f t="shared" si="1"/>
        <v>5</v>
      </c>
      <c r="B7" s="39" t="str">
        <f>август!B7</f>
        <v>Уборка и сан.очистка зем.уч.</v>
      </c>
      <c r="C7" s="8">
        <v>0</v>
      </c>
      <c r="D7" s="19">
        <f>C7+август!D7</f>
        <v>25216.719999999998</v>
      </c>
      <c r="E7" s="8">
        <v>0</v>
      </c>
      <c r="F7" s="19">
        <f>E7+август!F7</f>
        <v>23237.99</v>
      </c>
      <c r="G7" s="19">
        <f t="shared" si="0"/>
        <v>0</v>
      </c>
      <c r="H7" s="20">
        <f t="shared" si="0"/>
        <v>-1978.7299999999959</v>
      </c>
      <c r="I7" s="9"/>
      <c r="J7" s="20">
        <f>I7+август!J7</f>
        <v>0</v>
      </c>
      <c r="K7" s="8"/>
      <c r="L7" s="19">
        <f>K7+август!L7</f>
        <v>0</v>
      </c>
    </row>
    <row r="8" spans="1:13" ht="13.5" customHeight="1">
      <c r="A8" s="1">
        <f t="shared" si="1"/>
        <v>6</v>
      </c>
      <c r="B8" s="39" t="str">
        <f>август!B8</f>
        <v>Электроснабжение(инд.потр)</v>
      </c>
      <c r="C8" s="8">
        <f>4910.01+22738.32</f>
        <v>27648.33</v>
      </c>
      <c r="D8" s="19">
        <f>C8+август!D8</f>
        <v>239642.78999999998</v>
      </c>
      <c r="E8" s="8">
        <f>4083.48+17890.69</f>
        <v>21974.17</v>
      </c>
      <c r="F8" s="19">
        <f>E8+август!F8</f>
        <v>214148.61</v>
      </c>
      <c r="G8" s="19">
        <f t="shared" si="0"/>
        <v>-5674.1600000000035</v>
      </c>
      <c r="H8" s="20">
        <f t="shared" si="0"/>
        <v>-25494.179999999993</v>
      </c>
      <c r="I8" s="9"/>
      <c r="J8" s="20">
        <f>I8+август!J8</f>
        <v>0</v>
      </c>
      <c r="K8" s="8"/>
      <c r="L8" s="19">
        <f>K8+август!L8</f>
        <v>0</v>
      </c>
    </row>
    <row r="9" spans="1:13">
      <c r="A9" s="1">
        <f t="shared" si="1"/>
        <v>7</v>
      </c>
      <c r="B9" s="39" t="str">
        <f>август!B9</f>
        <v>Холодная вода</v>
      </c>
      <c r="C9" s="8">
        <f>1739.8+7456.72</f>
        <v>9196.52</v>
      </c>
      <c r="D9" s="19">
        <f>C9+август!D9</f>
        <v>74227.37</v>
      </c>
      <c r="E9" s="8">
        <f>-118.05+4157.63</f>
        <v>4039.58</v>
      </c>
      <c r="F9" s="19">
        <f>E9+август!F9</f>
        <v>64873.67</v>
      </c>
      <c r="G9" s="19">
        <f t="shared" si="0"/>
        <v>-5156.9400000000005</v>
      </c>
      <c r="H9" s="20">
        <f t="shared" si="0"/>
        <v>-9353.6999999999971</v>
      </c>
      <c r="I9" s="9"/>
      <c r="J9" s="20">
        <f>I9+август!J9</f>
        <v>0</v>
      </c>
      <c r="K9" s="8"/>
      <c r="L9" s="19">
        <f>K9+август!L9</f>
        <v>0</v>
      </c>
    </row>
    <row r="10" spans="1:13">
      <c r="A10" s="1">
        <f t="shared" si="1"/>
        <v>8</v>
      </c>
      <c r="B10" s="39" t="str">
        <f>август!B10</f>
        <v>Канализирование х.воды</v>
      </c>
      <c r="C10" s="8">
        <v>0</v>
      </c>
      <c r="D10" s="19">
        <f>C10+август!D10</f>
        <v>0</v>
      </c>
      <c r="E10" s="8">
        <v>0</v>
      </c>
      <c r="F10" s="19">
        <f>E10+август!F10</f>
        <v>0</v>
      </c>
      <c r="G10" s="19">
        <f t="shared" si="0"/>
        <v>0</v>
      </c>
      <c r="H10" s="20">
        <f t="shared" si="0"/>
        <v>0</v>
      </c>
      <c r="I10" s="9"/>
      <c r="J10" s="20">
        <f>I10+август!J10</f>
        <v>0</v>
      </c>
      <c r="K10" s="8"/>
      <c r="L10" s="19">
        <f>K10+август!L10</f>
        <v>0</v>
      </c>
    </row>
    <row r="11" spans="1:13">
      <c r="A11" s="1">
        <f t="shared" si="1"/>
        <v>9</v>
      </c>
      <c r="B11" s="39" t="str">
        <f>август!B11</f>
        <v>Канализирование г.воды</v>
      </c>
      <c r="C11" s="8">
        <v>0</v>
      </c>
      <c r="D11" s="19">
        <f>C11+август!D11</f>
        <v>0</v>
      </c>
      <c r="E11" s="8">
        <v>0</v>
      </c>
      <c r="F11" s="19">
        <f>E11+август!F11</f>
        <v>0</v>
      </c>
      <c r="G11" s="19">
        <f t="shared" si="0"/>
        <v>0</v>
      </c>
      <c r="H11" s="20">
        <f t="shared" si="0"/>
        <v>0</v>
      </c>
      <c r="I11" s="9"/>
      <c r="J11" s="20">
        <f>I11+август!J11</f>
        <v>0</v>
      </c>
      <c r="K11" s="8"/>
      <c r="L11" s="19">
        <f>K11+август!L11</f>
        <v>0</v>
      </c>
    </row>
    <row r="12" spans="1:13">
      <c r="A12" s="1">
        <f t="shared" si="1"/>
        <v>10</v>
      </c>
      <c r="B12" s="39" t="str">
        <f>август!B12</f>
        <v>Тек.рем.общ.имущ.дома</v>
      </c>
      <c r="C12" s="8">
        <f>1789.09+8834.69</f>
        <v>10623.78</v>
      </c>
      <c r="D12" s="19">
        <f>C12+август!D12</f>
        <v>95614.01999999999</v>
      </c>
      <c r="E12" s="8">
        <f>1503.93+7460.09</f>
        <v>8964.02</v>
      </c>
      <c r="F12" s="19">
        <f>E12+август!F12</f>
        <v>87714.79</v>
      </c>
      <c r="G12" s="19">
        <f t="shared" si="0"/>
        <v>-1659.7600000000002</v>
      </c>
      <c r="H12" s="20">
        <f t="shared" si="0"/>
        <v>-7899.2299999999959</v>
      </c>
      <c r="I12" s="9"/>
      <c r="J12" s="20">
        <f>I12+август!J12</f>
        <v>0</v>
      </c>
      <c r="K12" s="8"/>
      <c r="L12" s="19">
        <f>K12+август!L12</f>
        <v>0</v>
      </c>
    </row>
    <row r="13" spans="1:13" ht="12.75" customHeight="1">
      <c r="A13" s="1">
        <f t="shared" si="1"/>
        <v>11</v>
      </c>
      <c r="B13" s="39" t="str">
        <f>август!B13</f>
        <v>Сод.и тек.рем.в/дом.газосн</v>
      </c>
      <c r="C13" s="8">
        <f>184.86+951.95</f>
        <v>1136.81</v>
      </c>
      <c r="D13" s="19">
        <f>C13+август!D13</f>
        <v>10231.289999999997</v>
      </c>
      <c r="E13" s="8">
        <f>164.66+816.85</f>
        <v>981.51</v>
      </c>
      <c r="F13" s="19">
        <f>E13+август!F13</f>
        <v>9422.2100000000009</v>
      </c>
      <c r="G13" s="19">
        <f t="shared" si="0"/>
        <v>-155.29999999999995</v>
      </c>
      <c r="H13" s="20">
        <f t="shared" si="0"/>
        <v>-809.07999999999629</v>
      </c>
      <c r="I13" s="9"/>
      <c r="J13" s="20">
        <f>I13+август!J13</f>
        <v>0</v>
      </c>
      <c r="K13" s="8"/>
      <c r="L13" s="19">
        <f>K13+август!L13</f>
        <v>0</v>
      </c>
    </row>
    <row r="14" spans="1:13" ht="12.75" customHeight="1">
      <c r="A14" s="1">
        <f t="shared" si="1"/>
        <v>12</v>
      </c>
      <c r="B14" s="39" t="str">
        <f>август!B14</f>
        <v>Управление многокв.домом</v>
      </c>
      <c r="C14" s="8">
        <f>864.3+4267.95</f>
        <v>5132.25</v>
      </c>
      <c r="D14" s="19">
        <f>C14+август!D14</f>
        <v>41776.65</v>
      </c>
      <c r="E14" s="8">
        <f>712.4+3578.74</f>
        <v>4291.1399999999994</v>
      </c>
      <c r="F14" s="19">
        <f>E14+август!F14</f>
        <v>37778.660000000003</v>
      </c>
      <c r="G14" s="19">
        <f t="shared" si="0"/>
        <v>-841.11000000000058</v>
      </c>
      <c r="H14" s="20">
        <f t="shared" si="0"/>
        <v>-3997.989999999998</v>
      </c>
      <c r="I14" s="9"/>
      <c r="J14" s="20">
        <f>I14+август!J14</f>
        <v>0</v>
      </c>
      <c r="K14" s="8"/>
      <c r="L14" s="19">
        <f>K14+август!L14</f>
        <v>0</v>
      </c>
    </row>
    <row r="15" spans="1:13">
      <c r="A15" s="1">
        <f t="shared" si="1"/>
        <v>13</v>
      </c>
      <c r="B15" s="39" t="str">
        <f>август!B15</f>
        <v>Водоотведение(кв)</v>
      </c>
      <c r="C15" s="8">
        <f>2789.05+14356.4</f>
        <v>17145.45</v>
      </c>
      <c r="D15" s="19">
        <f>C15+август!D15</f>
        <v>133819.39000000001</v>
      </c>
      <c r="E15" s="8">
        <f>-247.63+6869.73</f>
        <v>6622.0999999999995</v>
      </c>
      <c r="F15" s="19">
        <f>E15+август!F15</f>
        <v>115646.27000000002</v>
      </c>
      <c r="G15" s="19">
        <f t="shared" si="0"/>
        <v>-10523.350000000002</v>
      </c>
      <c r="H15" s="20">
        <f t="shared" si="0"/>
        <v>-18173.119999999995</v>
      </c>
      <c r="I15" s="9"/>
      <c r="J15" s="20">
        <f>I15+август!J15</f>
        <v>0</v>
      </c>
      <c r="K15" s="8"/>
      <c r="L15" s="19">
        <f>K15+август!L15</f>
        <v>0</v>
      </c>
    </row>
    <row r="16" spans="1:13">
      <c r="A16" s="1">
        <f t="shared" si="1"/>
        <v>14</v>
      </c>
      <c r="B16" s="39" t="str">
        <f>август!B16</f>
        <v>Эксплуатация общед.ПУ</v>
      </c>
      <c r="C16" s="8">
        <f>190.17+938.99</f>
        <v>1129.1600000000001</v>
      </c>
      <c r="D16" s="19">
        <f>C16+август!D16</f>
        <v>10162.44</v>
      </c>
      <c r="E16" s="8">
        <f>159.86+792.89</f>
        <v>952.75</v>
      </c>
      <c r="F16" s="19">
        <f>E16+август!F16</f>
        <v>9307.4500000000007</v>
      </c>
      <c r="G16" s="19">
        <f t="shared" si="0"/>
        <v>-176.41000000000008</v>
      </c>
      <c r="H16" s="20">
        <f t="shared" si="0"/>
        <v>-854.98999999999978</v>
      </c>
      <c r="I16" s="9"/>
      <c r="J16" s="20">
        <f>I16+август!J16</f>
        <v>0</v>
      </c>
      <c r="K16" s="8"/>
      <c r="L16" s="19">
        <f>K16+август!L16</f>
        <v>0</v>
      </c>
    </row>
    <row r="17" spans="1:12">
      <c r="A17" s="1">
        <f t="shared" si="1"/>
        <v>15</v>
      </c>
      <c r="B17" s="39" t="str">
        <f>август!B17</f>
        <v>Хол. водоснаб(о/д нужды)</v>
      </c>
      <c r="C17" s="8">
        <f>93.27+459.71</f>
        <v>552.98</v>
      </c>
      <c r="D17" s="19">
        <f>C17+август!D17</f>
        <v>4746.42</v>
      </c>
      <c r="E17" s="8">
        <f>77.96+392.23</f>
        <v>470.19</v>
      </c>
      <c r="F17" s="19">
        <f>E17+август!F17</f>
        <v>4357.12</v>
      </c>
      <c r="G17" s="19">
        <f t="shared" si="0"/>
        <v>-82.79000000000002</v>
      </c>
      <c r="H17" s="20">
        <f t="shared" si="0"/>
        <v>-389.30000000000018</v>
      </c>
      <c r="I17" s="9"/>
      <c r="J17" s="20">
        <f>I17+август!J17</f>
        <v>0</v>
      </c>
      <c r="K17" s="8"/>
      <c r="L17" s="19">
        <f>K17+август!L17</f>
        <v>0</v>
      </c>
    </row>
    <row r="18" spans="1:12" ht="12.75" customHeight="1">
      <c r="A18" s="1">
        <f t="shared" si="1"/>
        <v>16</v>
      </c>
      <c r="B18" s="39" t="str">
        <f>август!B18</f>
        <v>Водоотведение(о/д нужды)</v>
      </c>
      <c r="C18" s="8">
        <v>0</v>
      </c>
      <c r="D18" s="19">
        <f>C18+август!D18</f>
        <v>0</v>
      </c>
      <c r="E18" s="8">
        <v>0</v>
      </c>
      <c r="F18" s="19">
        <f>E18+август!F18</f>
        <v>0</v>
      </c>
      <c r="G18" s="19">
        <f t="shared" si="0"/>
        <v>0</v>
      </c>
      <c r="H18" s="20">
        <f t="shared" si="0"/>
        <v>0</v>
      </c>
      <c r="I18" s="9"/>
      <c r="J18" s="20">
        <f>I18+август!J18</f>
        <v>0</v>
      </c>
      <c r="K18" s="8"/>
      <c r="L18" s="19">
        <f>K18+август!L18</f>
        <v>0</v>
      </c>
    </row>
    <row r="19" spans="1:12">
      <c r="A19" s="1">
        <f t="shared" si="1"/>
        <v>17</v>
      </c>
      <c r="B19" s="39" t="str">
        <f>август!B19</f>
        <v>Отопление(о/д нужды)</v>
      </c>
      <c r="C19" s="8">
        <v>0</v>
      </c>
      <c r="D19" s="19">
        <f>C19+август!D19</f>
        <v>0</v>
      </c>
      <c r="E19" s="8">
        <v>0</v>
      </c>
      <c r="F19" s="19">
        <f>E19+август!F19</f>
        <v>0</v>
      </c>
      <c r="G19" s="19">
        <f t="shared" si="0"/>
        <v>0</v>
      </c>
      <c r="H19" s="20">
        <f t="shared" si="0"/>
        <v>0</v>
      </c>
      <c r="I19" s="9"/>
      <c r="J19" s="20">
        <f>I19+август!J19</f>
        <v>0</v>
      </c>
      <c r="K19" s="8"/>
      <c r="L19" s="19">
        <f>K19+август!L19</f>
        <v>0</v>
      </c>
    </row>
    <row r="20" spans="1:12" ht="14.25" customHeight="1">
      <c r="A20" s="1">
        <f t="shared" si="1"/>
        <v>18</v>
      </c>
      <c r="B20" s="39" t="str">
        <f>август!B20</f>
        <v>Электроснабжение(общед.нужды)</v>
      </c>
      <c r="C20" s="8">
        <f>2232.9+7709.22+2303.89</f>
        <v>12246.01</v>
      </c>
      <c r="D20" s="19">
        <f>C20+август!D20</f>
        <v>85374.50999999998</v>
      </c>
      <c r="E20" s="8">
        <f>553.78+5286.35+961.46</f>
        <v>6801.59</v>
      </c>
      <c r="F20" s="19">
        <f>E20+август!F20</f>
        <v>79666.399999999994</v>
      </c>
      <c r="G20" s="19">
        <f t="shared" si="0"/>
        <v>-5444.42</v>
      </c>
      <c r="H20" s="20">
        <f t="shared" si="0"/>
        <v>-5708.109999999986</v>
      </c>
      <c r="I20" s="9"/>
      <c r="J20" s="20">
        <f>I20+август!J20</f>
        <v>0</v>
      </c>
      <c r="K20" s="8"/>
      <c r="L20" s="19">
        <f>K20+август!L20</f>
        <v>0</v>
      </c>
    </row>
    <row r="21" spans="1:12">
      <c r="A21" s="1">
        <f t="shared" si="1"/>
        <v>19</v>
      </c>
      <c r="B21" s="39" t="s">
        <v>36</v>
      </c>
      <c r="C21" s="8">
        <v>0</v>
      </c>
      <c r="D21" s="19">
        <f>C21+август!D21</f>
        <v>0</v>
      </c>
      <c r="E21" s="8">
        <v>0</v>
      </c>
      <c r="F21" s="19">
        <f>E21+август!F21</f>
        <v>0</v>
      </c>
      <c r="G21" s="19">
        <f t="shared" si="0"/>
        <v>0</v>
      </c>
      <c r="H21" s="20">
        <f t="shared" si="0"/>
        <v>0</v>
      </c>
      <c r="I21" s="9"/>
      <c r="J21" s="20">
        <f>I21+август!J21</f>
        <v>0</v>
      </c>
      <c r="K21" s="8"/>
      <c r="L21" s="19">
        <f>K21+август!L21</f>
        <v>0</v>
      </c>
    </row>
    <row r="22" spans="1:12" ht="16.5" customHeight="1">
      <c r="A22" s="1">
        <f t="shared" si="1"/>
        <v>20</v>
      </c>
      <c r="B22" s="39" t="str">
        <f>август!B22</f>
        <v>Гор. Водоснабж. (о/д нужды)</v>
      </c>
      <c r="C22" s="8">
        <f>200.06+993.05</f>
        <v>1193.1099999999999</v>
      </c>
      <c r="D22" s="19">
        <f>C22+август!D22</f>
        <v>16071.400000000001</v>
      </c>
      <c r="E22" s="8">
        <f>167.13+850.23</f>
        <v>1017.36</v>
      </c>
      <c r="F22" s="19">
        <f>E22+август!F22</f>
        <v>15821.399999999998</v>
      </c>
      <c r="G22" s="19">
        <f t="shared" si="0"/>
        <v>-175.74999999999989</v>
      </c>
      <c r="H22" s="20">
        <f t="shared" si="0"/>
        <v>-250.00000000000364</v>
      </c>
      <c r="I22" s="9"/>
      <c r="J22" s="20">
        <f>I22+август!J22</f>
        <v>0</v>
      </c>
      <c r="K22" s="8"/>
      <c r="L22" s="19">
        <f>K22+август!L22</f>
        <v>0</v>
      </c>
    </row>
    <row r="23" spans="1:12">
      <c r="A23" s="17"/>
      <c r="B23" s="32" t="s">
        <v>12</v>
      </c>
      <c r="C23" s="30">
        <f t="shared" ref="C23:L23" si="2">SUM(C3:C22)</f>
        <v>138245.93999999997</v>
      </c>
      <c r="D23" s="36">
        <f t="shared" si="2"/>
        <v>1432133.6899999997</v>
      </c>
      <c r="E23" s="31">
        <f t="shared" si="2"/>
        <v>89785.02</v>
      </c>
      <c r="F23" s="19">
        <f t="shared" si="2"/>
        <v>1356760.92</v>
      </c>
      <c r="G23" s="19">
        <f t="shared" si="2"/>
        <v>-48460.920000000006</v>
      </c>
      <c r="H23" s="20">
        <f t="shared" si="2"/>
        <v>-75372.770000000033</v>
      </c>
      <c r="I23" s="20">
        <f t="shared" si="2"/>
        <v>0</v>
      </c>
      <c r="J23" s="20">
        <f t="shared" si="2"/>
        <v>0</v>
      </c>
      <c r="K23" s="19">
        <f t="shared" si="2"/>
        <v>0</v>
      </c>
      <c r="L23" s="19">
        <f t="shared" si="2"/>
        <v>0</v>
      </c>
    </row>
    <row r="25" spans="1:12">
      <c r="B25" s="40" t="s">
        <v>35</v>
      </c>
      <c r="C25" s="9">
        <f t="shared" ref="C25:H25" si="3">C3+C7+C12+C13+C14+C16</f>
        <v>39320.9</v>
      </c>
      <c r="D25" s="9">
        <f t="shared" si="3"/>
        <v>369113.45999999996</v>
      </c>
      <c r="E25" s="9">
        <f t="shared" si="3"/>
        <v>33120.46</v>
      </c>
      <c r="F25" s="9">
        <f t="shared" si="3"/>
        <v>337232.84</v>
      </c>
      <c r="G25" s="9">
        <f t="shared" si="3"/>
        <v>-6200.4399999999978</v>
      </c>
      <c r="H25" s="9">
        <f t="shared" si="3"/>
        <v>-31880.619999999959</v>
      </c>
    </row>
    <row r="26" spans="1:12">
      <c r="B26" s="1" t="s">
        <v>37</v>
      </c>
      <c r="C26" s="9">
        <f>C9+C10+C11+C15+C17+C18</f>
        <v>26894.95</v>
      </c>
      <c r="D26" s="9">
        <f t="shared" ref="D26:J26" si="4">D9+D10+D11+D15+D17+D18</f>
        <v>212793.18000000002</v>
      </c>
      <c r="E26" s="9">
        <f t="shared" si="4"/>
        <v>11131.87</v>
      </c>
      <c r="F26" s="9">
        <f t="shared" si="4"/>
        <v>184877.06</v>
      </c>
      <c r="G26" s="9">
        <f t="shared" si="4"/>
        <v>-15763.080000000004</v>
      </c>
      <c r="H26" s="9">
        <f t="shared" si="4"/>
        <v>-27916.119999999992</v>
      </c>
      <c r="I26" s="9">
        <f t="shared" si="4"/>
        <v>0</v>
      </c>
      <c r="J26" s="9">
        <f t="shared" si="4"/>
        <v>0</v>
      </c>
    </row>
    <row r="27" spans="1:12">
      <c r="B27" s="1" t="s">
        <v>38</v>
      </c>
      <c r="C27" s="9">
        <f>C8+C20</f>
        <v>39894.340000000004</v>
      </c>
      <c r="D27" s="9">
        <f t="shared" ref="D27:J27" si="5">D8+D20</f>
        <v>325017.29999999993</v>
      </c>
      <c r="E27" s="9">
        <f t="shared" si="5"/>
        <v>28775.759999999998</v>
      </c>
      <c r="F27" s="9">
        <f t="shared" si="5"/>
        <v>293815.01</v>
      </c>
      <c r="G27" s="9">
        <f t="shared" si="5"/>
        <v>-11118.580000000004</v>
      </c>
      <c r="H27" s="9">
        <f t="shared" si="5"/>
        <v>-31202.289999999979</v>
      </c>
      <c r="I27" s="9">
        <f t="shared" si="5"/>
        <v>0</v>
      </c>
      <c r="J27" s="9">
        <f t="shared" si="5"/>
        <v>0</v>
      </c>
    </row>
    <row r="28" spans="1:12">
      <c r="B28" s="1" t="s">
        <v>39</v>
      </c>
      <c r="C28" s="9">
        <f>C4+C5+C19+C22</f>
        <v>28919.489999999998</v>
      </c>
      <c r="D28" s="9">
        <f t="shared" ref="D28:J28" si="6">D4+D5+D19+D22</f>
        <v>521993.49000000011</v>
      </c>
      <c r="E28" s="9">
        <f t="shared" si="6"/>
        <v>14047.750000000002</v>
      </c>
      <c r="F28" s="9">
        <f t="shared" si="6"/>
        <v>538126.82999999996</v>
      </c>
      <c r="G28" s="9">
        <f t="shared" si="6"/>
        <v>-14871.739999999996</v>
      </c>
      <c r="H28" s="9">
        <f t="shared" si="6"/>
        <v>16133.339999999906</v>
      </c>
      <c r="I28" s="9">
        <f t="shared" si="6"/>
        <v>0</v>
      </c>
      <c r="J28" s="9">
        <f t="shared" si="6"/>
        <v>0</v>
      </c>
    </row>
    <row r="31" spans="1:12">
      <c r="C31">
        <f>22774.62+115471.32</f>
        <v>138245.94</v>
      </c>
      <c r="E31">
        <f>10436.93+79348.09</f>
        <v>89785.01999999999</v>
      </c>
    </row>
    <row r="33" spans="5:6">
      <c r="E33" s="11"/>
      <c r="F33" s="1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декабрь18</vt:lpstr>
      <vt:lpstr>Январь19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NB</cp:lastModifiedBy>
  <cp:lastPrinted>2018-04-20T12:52:08Z</cp:lastPrinted>
  <dcterms:created xsi:type="dcterms:W3CDTF">1996-10-08T23:32:33Z</dcterms:created>
  <dcterms:modified xsi:type="dcterms:W3CDTF">2019-02-19T20:46:08Z</dcterms:modified>
</cp:coreProperties>
</file>