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firstSheet="1" activeTab="11"/>
  </bookViews>
  <sheets>
    <sheet name="Январь" sheetId="2" r:id="rId1"/>
    <sheet name="февраль" sheetId="3" r:id="rId2"/>
    <sheet name="март" sheetId="4" r:id="rId3"/>
    <sheet name="апрель" sheetId="5" r:id="rId4"/>
    <sheet name="май" sheetId="6" r:id="rId5"/>
    <sheet name="июнь" sheetId="7" r:id="rId6"/>
    <sheet name="июль" sheetId="8" r:id="rId7"/>
    <sheet name="август" sheetId="9" r:id="rId8"/>
    <sheet name="сентябрь" sheetId="11" r:id="rId9"/>
    <sheet name="октябрь" sheetId="10" r:id="rId10"/>
    <sheet name="ноябрь" sheetId="12" r:id="rId11"/>
    <sheet name="декабрь17" sheetId="13" r:id="rId12"/>
    <sheet name="Лист14" sheetId="14" r:id="rId13"/>
  </sheets>
  <calcPr calcId="125725"/>
</workbook>
</file>

<file path=xl/calcChain.xml><?xml version="1.0" encoding="utf-8"?>
<calcChain xmlns="http://schemas.openxmlformats.org/spreadsheetml/2006/main">
  <c r="E22" i="13"/>
  <c r="E21"/>
  <c r="C22"/>
  <c r="C21"/>
  <c r="E19"/>
  <c r="E18"/>
  <c r="C19"/>
  <c r="C18"/>
  <c r="E11"/>
  <c r="E10"/>
  <c r="C11"/>
  <c r="C10"/>
  <c r="E6"/>
  <c r="E5"/>
  <c r="C6"/>
  <c r="C5"/>
  <c r="E22" i="12"/>
  <c r="E21"/>
  <c r="C22"/>
  <c r="C21"/>
  <c r="E19"/>
  <c r="E18"/>
  <c r="C19"/>
  <c r="C18"/>
  <c r="E11"/>
  <c r="E10"/>
  <c r="C11"/>
  <c r="C10"/>
  <c r="E6"/>
  <c r="E5"/>
  <c r="C6"/>
  <c r="C5"/>
  <c r="D35" i="13"/>
  <c r="C35"/>
  <c r="E15"/>
  <c r="C15"/>
  <c r="E20"/>
  <c r="C20"/>
  <c r="E17"/>
  <c r="C17"/>
  <c r="E16"/>
  <c r="C16"/>
  <c r="E13"/>
  <c r="C13"/>
  <c r="E12"/>
  <c r="C12"/>
  <c r="E14"/>
  <c r="C14"/>
  <c r="E9"/>
  <c r="C9"/>
  <c r="E7"/>
  <c r="C7"/>
  <c r="E8"/>
  <c r="C8"/>
  <c r="E4"/>
  <c r="C4"/>
  <c r="E3"/>
  <c r="C3"/>
  <c r="E35" i="12"/>
  <c r="D35"/>
  <c r="E15"/>
  <c r="C15"/>
  <c r="E20"/>
  <c r="C20"/>
  <c r="E17"/>
  <c r="C17"/>
  <c r="E16"/>
  <c r="C16"/>
  <c r="E13"/>
  <c r="C13"/>
  <c r="E12"/>
  <c r="C12"/>
  <c r="E14"/>
  <c r="C14"/>
  <c r="E9"/>
  <c r="C9"/>
  <c r="E7"/>
  <c r="C7"/>
  <c r="E8"/>
  <c r="C8"/>
  <c r="E4"/>
  <c r="C4"/>
  <c r="E3"/>
  <c r="C3"/>
  <c r="E19" i="10"/>
  <c r="C19"/>
  <c r="E15"/>
  <c r="C15"/>
  <c r="E22"/>
  <c r="E21"/>
  <c r="C22"/>
  <c r="C21"/>
  <c r="E11"/>
  <c r="E10"/>
  <c r="C11"/>
  <c r="C10"/>
  <c r="E6"/>
  <c r="E5"/>
  <c r="C6"/>
  <c r="C5"/>
  <c r="E35"/>
  <c r="D35"/>
  <c r="E18"/>
  <c r="C18"/>
  <c r="E20"/>
  <c r="C20"/>
  <c r="E17"/>
  <c r="C17"/>
  <c r="E16"/>
  <c r="C16"/>
  <c r="E13"/>
  <c r="C13"/>
  <c r="E12"/>
  <c r="C12"/>
  <c r="E14"/>
  <c r="C14"/>
  <c r="E9"/>
  <c r="C9"/>
  <c r="E7"/>
  <c r="C7"/>
  <c r="E8"/>
  <c r="C8"/>
  <c r="E4"/>
  <c r="C4"/>
  <c r="E3"/>
  <c r="C3"/>
  <c r="E22" i="11"/>
  <c r="E21"/>
  <c r="C22"/>
  <c r="C21"/>
  <c r="E19"/>
  <c r="E18"/>
  <c r="C19"/>
  <c r="C18"/>
  <c r="E11"/>
  <c r="E10"/>
  <c r="C11"/>
  <c r="C10"/>
  <c r="E6"/>
  <c r="E5"/>
  <c r="C6"/>
  <c r="C5"/>
  <c r="E36"/>
  <c r="D36"/>
  <c r="E15"/>
  <c r="C15"/>
  <c r="E20"/>
  <c r="C20"/>
  <c r="E17"/>
  <c r="C17"/>
  <c r="E16"/>
  <c r="C16"/>
  <c r="E13"/>
  <c r="C13"/>
  <c r="E12"/>
  <c r="C12"/>
  <c r="E14"/>
  <c r="C14"/>
  <c r="E9"/>
  <c r="C9"/>
  <c r="E7"/>
  <c r="C7"/>
  <c r="E8"/>
  <c r="C8"/>
  <c r="E4"/>
  <c r="C4"/>
  <c r="E3"/>
  <c r="C3"/>
  <c r="G36" i="9"/>
  <c r="F36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E5"/>
  <c r="C5"/>
  <c r="E4"/>
  <c r="C4"/>
  <c r="E3"/>
  <c r="C3"/>
  <c r="F36" i="8"/>
  <c r="E36"/>
  <c r="E21"/>
  <c r="C21"/>
  <c r="J35" i="6"/>
  <c r="I35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E5"/>
  <c r="C5"/>
  <c r="E4"/>
  <c r="C4"/>
  <c r="E3"/>
  <c r="C3"/>
  <c r="E18" i="7"/>
  <c r="C18"/>
  <c r="E7"/>
  <c r="I37" l="1"/>
  <c r="H37"/>
  <c r="E21"/>
  <c r="C21"/>
  <c r="E20"/>
  <c r="C20"/>
  <c r="E19"/>
  <c r="C19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C7"/>
  <c r="E8"/>
  <c r="C8"/>
  <c r="E6"/>
  <c r="C6"/>
  <c r="E5"/>
  <c r="C5"/>
  <c r="E4"/>
  <c r="C4"/>
  <c r="E3"/>
  <c r="C3"/>
  <c r="J37" i="4"/>
  <c r="I37"/>
  <c r="I40" i="5"/>
  <c r="H40"/>
  <c r="E25" i="13"/>
  <c r="C25"/>
  <c r="E28"/>
  <c r="I28"/>
  <c r="C28"/>
  <c r="I30" i="12"/>
  <c r="E30"/>
  <c r="C30"/>
  <c r="I29"/>
  <c r="E29"/>
  <c r="C29"/>
  <c r="I28"/>
  <c r="E28"/>
  <c r="C28"/>
  <c r="E28" i="11"/>
  <c r="I28"/>
  <c r="C28"/>
  <c r="E28" i="9"/>
  <c r="I28"/>
  <c r="C28"/>
  <c r="E28" i="8"/>
  <c r="I28"/>
  <c r="C28"/>
  <c r="E28" i="7"/>
  <c r="I28"/>
  <c r="C28"/>
  <c r="E28" i="6"/>
  <c r="I28"/>
  <c r="C28"/>
  <c r="E30" i="5"/>
  <c r="I30"/>
  <c r="C30"/>
  <c r="E28" i="4"/>
  <c r="I28"/>
  <c r="C28"/>
  <c r="E28" i="3"/>
  <c r="I28"/>
  <c r="C28"/>
  <c r="E28" i="2"/>
  <c r="I28"/>
  <c r="C28"/>
  <c r="E28" i="10"/>
  <c r="I28"/>
  <c r="C28"/>
  <c r="I30"/>
  <c r="E30"/>
  <c r="C30"/>
  <c r="I29"/>
  <c r="E29"/>
  <c r="C29"/>
  <c r="I30" i="11"/>
  <c r="E30"/>
  <c r="C30"/>
  <c r="I29"/>
  <c r="E29"/>
  <c r="C29"/>
  <c r="I30" i="9"/>
  <c r="E30"/>
  <c r="C30"/>
  <c r="I29"/>
  <c r="E29"/>
  <c r="C29"/>
  <c r="I30" i="8"/>
  <c r="E30"/>
  <c r="C30"/>
  <c r="I29"/>
  <c r="E29"/>
  <c r="C29"/>
  <c r="I30" i="7"/>
  <c r="E30"/>
  <c r="C30"/>
  <c r="I29"/>
  <c r="E29"/>
  <c r="C29"/>
  <c r="I30" i="6" l="1"/>
  <c r="E30"/>
  <c r="C30"/>
  <c r="I29"/>
  <c r="E29"/>
  <c r="C29"/>
  <c r="C32" i="5"/>
  <c r="I32"/>
  <c r="E32"/>
  <c r="I31"/>
  <c r="E31"/>
  <c r="C31"/>
  <c r="I30" i="4" l="1"/>
  <c r="E30"/>
  <c r="C30"/>
  <c r="I29"/>
  <c r="E29"/>
  <c r="C29"/>
  <c r="I30" i="3"/>
  <c r="E30"/>
  <c r="C30"/>
  <c r="I29"/>
  <c r="E29"/>
  <c r="C29"/>
  <c r="E30" i="2"/>
  <c r="I30"/>
  <c r="C30"/>
  <c r="E29"/>
  <c r="I29"/>
  <c r="C29"/>
  <c r="C30" i="13"/>
  <c r="C29"/>
  <c r="I30"/>
  <c r="E30"/>
  <c r="I29"/>
  <c r="E29"/>
  <c r="E25" i="11" l="1"/>
  <c r="C25"/>
  <c r="E25" i="7"/>
  <c r="C25"/>
  <c r="E25" i="4"/>
  <c r="C25"/>
  <c r="J4" i="2"/>
  <c r="J4" i="3"/>
  <c r="J4" i="4"/>
  <c r="J6" i="5"/>
  <c r="J4" i="6"/>
  <c r="J4" i="7"/>
  <c r="J4" i="8"/>
  <c r="J4" i="9"/>
  <c r="J4" i="11"/>
  <c r="J4" i="10"/>
  <c r="J4" i="12"/>
  <c r="J8" i="2"/>
  <c r="J8" i="3"/>
  <c r="J8" i="4"/>
  <c r="J10" i="5"/>
  <c r="J8" i="6"/>
  <c r="J8" i="7"/>
  <c r="J8" i="8"/>
  <c r="J8" i="9"/>
  <c r="J8" i="11"/>
  <c r="J8" i="10"/>
  <c r="J8" i="12"/>
  <c r="B4" i="3"/>
  <c r="B4" i="4"/>
  <c r="B6" i="5"/>
  <c r="B4" i="6"/>
  <c r="B4" i="7"/>
  <c r="B4" i="8"/>
  <c r="B4" i="9"/>
  <c r="B4" i="11"/>
  <c r="B4" i="10"/>
  <c r="B4" i="12"/>
  <c r="B4" i="13"/>
  <c r="B5" i="3"/>
  <c r="B5" i="4"/>
  <c r="B7" i="5"/>
  <c r="B5" i="6"/>
  <c r="B5" i="7"/>
  <c r="B5" i="8"/>
  <c r="B5" i="9"/>
  <c r="B5" i="11"/>
  <c r="B5" i="10"/>
  <c r="B5" i="12"/>
  <c r="B5" i="13"/>
  <c r="B6" i="3"/>
  <c r="B6" i="4"/>
  <c r="B8" i="5"/>
  <c r="B6" i="6"/>
  <c r="B6" i="7"/>
  <c r="B6" i="8"/>
  <c r="B6" i="9"/>
  <c r="B6" i="11"/>
  <c r="B6" i="10"/>
  <c r="B6" i="12"/>
  <c r="B6" i="13"/>
  <c r="B7" i="3"/>
  <c r="B7" i="4"/>
  <c r="B9" i="5"/>
  <c r="B7" i="6"/>
  <c r="B7" i="7"/>
  <c r="B7" i="8"/>
  <c r="B7" i="9"/>
  <c r="B7" i="11"/>
  <c r="B7" i="10"/>
  <c r="B7" i="12"/>
  <c r="B7" i="13"/>
  <c r="B8" i="3"/>
  <c r="B8" i="4"/>
  <c r="B10" i="5"/>
  <c r="B8" i="6"/>
  <c r="B8" i="7"/>
  <c r="B8" i="8"/>
  <c r="B8" i="9"/>
  <c r="B8" i="11"/>
  <c r="B8" i="10"/>
  <c r="B8" i="12"/>
  <c r="B8" i="13"/>
  <c r="B9" i="3"/>
  <c r="B9" i="4"/>
  <c r="B11" i="5"/>
  <c r="B9" i="6"/>
  <c r="B9" i="7"/>
  <c r="B9" i="8"/>
  <c r="B9" i="9"/>
  <c r="B9" i="11"/>
  <c r="B9" i="10"/>
  <c r="B9" i="12"/>
  <c r="B9" i="13"/>
  <c r="B10" i="3"/>
  <c r="B10" i="4"/>
  <c r="B12" i="5"/>
  <c r="B10" i="6"/>
  <c r="B10" i="7"/>
  <c r="B10" i="8"/>
  <c r="B10" i="9"/>
  <c r="B10" i="11"/>
  <c r="B10" i="10"/>
  <c r="B10" i="12"/>
  <c r="B10" i="13"/>
  <c r="B11" i="3"/>
  <c r="B11" i="4"/>
  <c r="B13" i="5"/>
  <c r="B11" i="6"/>
  <c r="B11" i="7"/>
  <c r="B11" i="8"/>
  <c r="B11" i="9"/>
  <c r="B11" i="11"/>
  <c r="B11" i="10"/>
  <c r="B11" i="12"/>
  <c r="B11" i="13"/>
  <c r="B12" i="3"/>
  <c r="B12" i="4"/>
  <c r="B14" i="5"/>
  <c r="B12" i="6"/>
  <c r="B12" i="7"/>
  <c r="B12" i="8"/>
  <c r="B12" i="9"/>
  <c r="B12" i="11"/>
  <c r="B12" i="10"/>
  <c r="B12" i="12"/>
  <c r="B12" i="13"/>
  <c r="B13" i="3"/>
  <c r="B13" i="4"/>
  <c r="B15" i="5"/>
  <c r="B13" i="6"/>
  <c r="B13" i="7"/>
  <c r="B13" i="8"/>
  <c r="B13" i="9"/>
  <c r="B13" i="11"/>
  <c r="B13" i="10"/>
  <c r="B13" i="12"/>
  <c r="B13" i="13"/>
  <c r="B14" i="3"/>
  <c r="B14" i="4"/>
  <c r="B16" i="5"/>
  <c r="B14" i="6"/>
  <c r="B14" i="7"/>
  <c r="B14" i="8"/>
  <c r="B14" i="9"/>
  <c r="B14" i="11"/>
  <c r="B14" i="10"/>
  <c r="B14" i="12"/>
  <c r="B14" i="13"/>
  <c r="B15" i="3"/>
  <c r="B15" i="4"/>
  <c r="B17" i="5"/>
  <c r="B15" i="6"/>
  <c r="B15" i="7"/>
  <c r="B15" i="8"/>
  <c r="B15" i="9"/>
  <c r="B15" i="11"/>
  <c r="B15" i="10"/>
  <c r="B15" i="12"/>
  <c r="B15" i="13"/>
  <c r="B16" i="3"/>
  <c r="B16" i="4"/>
  <c r="B18" i="5"/>
  <c r="B16" i="6"/>
  <c r="B16" i="7"/>
  <c r="B16" i="8"/>
  <c r="B16" i="9"/>
  <c r="B16" i="11"/>
  <c r="B16" i="10"/>
  <c r="B16" i="12"/>
  <c r="B16" i="13"/>
  <c r="B17" i="3"/>
  <c r="B17" i="4"/>
  <c r="B19" i="5"/>
  <c r="B17" i="6"/>
  <c r="B17" i="7"/>
  <c r="B17" i="8"/>
  <c r="B17" i="9"/>
  <c r="B17" i="11"/>
  <c r="B17" i="10"/>
  <c r="B17" i="12"/>
  <c r="B17" i="13"/>
  <c r="B18" i="3"/>
  <c r="B18" i="4"/>
  <c r="B20" i="5"/>
  <c r="B18" i="6"/>
  <c r="B18" i="7"/>
  <c r="B18" i="8"/>
  <c r="B18" i="9"/>
  <c r="B18" i="11"/>
  <c r="B18" i="10"/>
  <c r="B18" i="12"/>
  <c r="B18" i="13"/>
  <c r="B19" i="3"/>
  <c r="B19" i="4"/>
  <c r="B21" i="5"/>
  <c r="B19" i="6"/>
  <c r="B19" i="7"/>
  <c r="B19" i="8"/>
  <c r="B19" i="9"/>
  <c r="B19" i="11"/>
  <c r="B19" i="10"/>
  <c r="B19" i="12"/>
  <c r="B19" i="13"/>
  <c r="B20" i="3"/>
  <c r="B20" i="4"/>
  <c r="B22" i="5"/>
  <c r="B20" i="6"/>
  <c r="B20" i="7"/>
  <c r="B20" i="8"/>
  <c r="B20" i="9"/>
  <c r="B20" i="11"/>
  <c r="B20" i="10"/>
  <c r="B20" i="12"/>
  <c r="B20" i="13"/>
  <c r="B21" i="3"/>
  <c r="B21" i="4"/>
  <c r="B23" i="5"/>
  <c r="B21" i="6"/>
  <c r="B21" i="7"/>
  <c r="B21" i="8"/>
  <c r="B21" i="9"/>
  <c r="B21" i="11"/>
  <c r="B21" i="10"/>
  <c r="B21" i="12"/>
  <c r="B21" i="13"/>
  <c r="B22" i="3"/>
  <c r="B22" i="4"/>
  <c r="B24" i="5"/>
  <c r="B22" i="6"/>
  <c r="B22" i="7"/>
  <c r="B22" i="8"/>
  <c r="B22" i="9"/>
  <c r="B22" i="11"/>
  <c r="B22" i="12"/>
  <c r="B22" i="13"/>
  <c r="B3" i="3"/>
  <c r="B3" i="4"/>
  <c r="B5" i="5"/>
  <c r="B3" i="6"/>
  <c r="B3" i="7"/>
  <c r="B3" i="8"/>
  <c r="B3" i="9"/>
  <c r="B3" i="11"/>
  <c r="B3" i="10"/>
  <c r="B3" i="12"/>
  <c r="B3" i="13"/>
  <c r="L4" i="2"/>
  <c r="L5"/>
  <c r="L6"/>
  <c r="L7"/>
  <c r="L8"/>
  <c r="L9"/>
  <c r="L10"/>
  <c r="L11"/>
  <c r="L12"/>
  <c r="L13"/>
  <c r="L14"/>
  <c r="L15"/>
  <c r="L16"/>
  <c r="L17"/>
  <c r="L18"/>
  <c r="L19"/>
  <c r="L20"/>
  <c r="L21"/>
  <c r="L22"/>
  <c r="L3"/>
  <c r="J22"/>
  <c r="J5"/>
  <c r="J6"/>
  <c r="J7"/>
  <c r="J9"/>
  <c r="J10"/>
  <c r="J11"/>
  <c r="J11" i="3"/>
  <c r="J11" i="4"/>
  <c r="J13" i="5"/>
  <c r="J11" i="6"/>
  <c r="J11" i="7"/>
  <c r="J11" i="8"/>
  <c r="J11" i="9"/>
  <c r="J11" i="11"/>
  <c r="J11" i="10"/>
  <c r="J11" i="12"/>
  <c r="J11" i="13"/>
  <c r="J12" i="2"/>
  <c r="J13"/>
  <c r="J14"/>
  <c r="J15"/>
  <c r="J15" i="3"/>
  <c r="J15" i="4"/>
  <c r="J17" i="5"/>
  <c r="J15" i="6"/>
  <c r="J15" i="7"/>
  <c r="J15" i="8"/>
  <c r="J15" i="9"/>
  <c r="J15" i="11"/>
  <c r="J15" i="10"/>
  <c r="J15" i="12"/>
  <c r="J15" i="13"/>
  <c r="J16" i="2"/>
  <c r="J17"/>
  <c r="J18"/>
  <c r="J19"/>
  <c r="J20"/>
  <c r="J21"/>
  <c r="J3"/>
  <c r="F4"/>
  <c r="F5"/>
  <c r="F6"/>
  <c r="F7"/>
  <c r="F8"/>
  <c r="F9"/>
  <c r="F9" i="3"/>
  <c r="F9" i="4"/>
  <c r="F11" i="5"/>
  <c r="F9" i="6"/>
  <c r="F9" i="7"/>
  <c r="F9" i="8"/>
  <c r="F9" i="9"/>
  <c r="F9" i="11" s="1"/>
  <c r="F10" i="2"/>
  <c r="F11"/>
  <c r="F12"/>
  <c r="F13"/>
  <c r="F14"/>
  <c r="F15"/>
  <c r="F15" i="3"/>
  <c r="F15" i="4"/>
  <c r="F17" i="5"/>
  <c r="F15" i="6"/>
  <c r="F15" i="7"/>
  <c r="F15" i="8"/>
  <c r="F15" i="9"/>
  <c r="F15" i="11" s="1"/>
  <c r="F16" i="2"/>
  <c r="F17"/>
  <c r="F17" i="3"/>
  <c r="F17" i="4"/>
  <c r="F18" i="2"/>
  <c r="F19"/>
  <c r="F19" i="3"/>
  <c r="F19" i="4"/>
  <c r="F21" i="5"/>
  <c r="F19" i="6"/>
  <c r="F19" i="7"/>
  <c r="F19" i="8"/>
  <c r="F19" i="9"/>
  <c r="F19" i="11" s="1"/>
  <c r="F20" i="2"/>
  <c r="F21"/>
  <c r="F21" i="3"/>
  <c r="F21" i="4"/>
  <c r="F23" i="5"/>
  <c r="F21" i="6"/>
  <c r="F21" i="7"/>
  <c r="F21" i="8"/>
  <c r="F21" i="9"/>
  <c r="F21" i="11" s="1"/>
  <c r="F22" i="2"/>
  <c r="F3"/>
  <c r="D4"/>
  <c r="D5"/>
  <c r="D5" i="3"/>
  <c r="D5" i="4"/>
  <c r="D6" i="2"/>
  <c r="D7"/>
  <c r="H7"/>
  <c r="D8"/>
  <c r="D9"/>
  <c r="H9"/>
  <c r="D10"/>
  <c r="D11"/>
  <c r="D11" i="3"/>
  <c r="D11" i="4"/>
  <c r="D11" i="6"/>
  <c r="D12" i="2"/>
  <c r="D13"/>
  <c r="D13" i="3"/>
  <c r="D14" i="2"/>
  <c r="D15"/>
  <c r="D15" i="3"/>
  <c r="D16" i="2"/>
  <c r="D17"/>
  <c r="D17" i="3"/>
  <c r="D17" i="4"/>
  <c r="D17" i="6"/>
  <c r="D17" i="7"/>
  <c r="D17" i="8"/>
  <c r="D18" i="2"/>
  <c r="D19"/>
  <c r="D19" i="3"/>
  <c r="D20" i="2"/>
  <c r="D21"/>
  <c r="D22"/>
  <c r="D3"/>
  <c r="G4" i="13"/>
  <c r="C23"/>
  <c r="G17" i="12"/>
  <c r="G21"/>
  <c r="G18"/>
  <c r="G15"/>
  <c r="G12"/>
  <c r="G11"/>
  <c r="E23"/>
  <c r="G4"/>
  <c r="D6" i="3"/>
  <c r="F10"/>
  <c r="F10" i="4"/>
  <c r="F7" i="3"/>
  <c r="F6"/>
  <c r="F5"/>
  <c r="F4"/>
  <c r="F30" s="1"/>
  <c r="J8" i="13"/>
  <c r="J3" i="3"/>
  <c r="F22"/>
  <c r="F22" i="4"/>
  <c r="F24" i="5"/>
  <c r="F22" i="6"/>
  <c r="F22" i="7"/>
  <c r="F22" i="8"/>
  <c r="F22" i="9"/>
  <c r="F22" i="11"/>
  <c r="F22" i="10"/>
  <c r="F22" i="12"/>
  <c r="F22" i="13"/>
  <c r="F8" i="3"/>
  <c r="F8" i="4"/>
  <c r="F10" i="5"/>
  <c r="F8" i="6"/>
  <c r="F8" i="7"/>
  <c r="F8" i="8"/>
  <c r="F8" i="9"/>
  <c r="F8" i="11" s="1"/>
  <c r="F11" i="3"/>
  <c r="F12"/>
  <c r="F12" i="4"/>
  <c r="F14" i="5"/>
  <c r="F12" i="6"/>
  <c r="F12" i="7"/>
  <c r="F12" i="8"/>
  <c r="F12" i="9"/>
  <c r="F12" i="11" s="1"/>
  <c r="F14" i="3"/>
  <c r="F14" i="4"/>
  <c r="F16" i="5"/>
  <c r="F14" i="6"/>
  <c r="F14" i="7"/>
  <c r="F14" i="8"/>
  <c r="F14" i="9"/>
  <c r="F14" i="11" s="1"/>
  <c r="F16" i="3"/>
  <c r="F18"/>
  <c r="F18" i="4"/>
  <c r="F20" i="5"/>
  <c r="F18" i="6"/>
  <c r="F18" i="7"/>
  <c r="F18" i="8"/>
  <c r="F18" i="9"/>
  <c r="F18" i="11" s="1"/>
  <c r="F20" i="3"/>
  <c r="F20" i="4"/>
  <c r="F22" i="5"/>
  <c r="F3" i="3"/>
  <c r="F3" i="4"/>
  <c r="D4" i="3"/>
  <c r="D6" i="4"/>
  <c r="D6" i="6"/>
  <c r="D6" i="7"/>
  <c r="D6" i="8"/>
  <c r="D8" i="3"/>
  <c r="D9"/>
  <c r="D12"/>
  <c r="D14"/>
  <c r="D16"/>
  <c r="D16" i="4"/>
  <c r="D18" i="3"/>
  <c r="D20"/>
  <c r="D22"/>
  <c r="D3"/>
  <c r="K23" i="12"/>
  <c r="J6" i="3"/>
  <c r="J6" i="4"/>
  <c r="J8" i="5"/>
  <c r="J6" i="6"/>
  <c r="J6" i="7"/>
  <c r="J6" i="8"/>
  <c r="J6" i="9"/>
  <c r="J6" i="11"/>
  <c r="J6" i="10"/>
  <c r="J6" i="12"/>
  <c r="J6" i="13"/>
  <c r="J13" i="3"/>
  <c r="J13" i="4"/>
  <c r="J15" i="5"/>
  <c r="J13" i="6"/>
  <c r="J13" i="7"/>
  <c r="J13" i="8"/>
  <c r="J13" i="9"/>
  <c r="J13" i="11"/>
  <c r="J13" i="10"/>
  <c r="J13" i="12"/>
  <c r="J13" i="13"/>
  <c r="K23"/>
  <c r="I23"/>
  <c r="G5"/>
  <c r="G6"/>
  <c r="G7"/>
  <c r="G8"/>
  <c r="G9"/>
  <c r="G10"/>
  <c r="G11"/>
  <c r="G12"/>
  <c r="G13"/>
  <c r="G14"/>
  <c r="G15"/>
  <c r="G16"/>
  <c r="G17"/>
  <c r="G18"/>
  <c r="G19"/>
  <c r="G20"/>
  <c r="G21"/>
  <c r="G2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I23" i="12"/>
  <c r="G3"/>
  <c r="G6"/>
  <c r="G7"/>
  <c r="G8"/>
  <c r="G9"/>
  <c r="G10"/>
  <c r="G13"/>
  <c r="G14"/>
  <c r="G16"/>
  <c r="G19"/>
  <c r="G20"/>
  <c r="G2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10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11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9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8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7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6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5" i="5"/>
  <c r="I2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E25"/>
  <c r="C2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K23" i="4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3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G4" i="2"/>
  <c r="G5"/>
  <c r="G6"/>
  <c r="G7"/>
  <c r="G8"/>
  <c r="H8"/>
  <c r="G9"/>
  <c r="G10"/>
  <c r="H10"/>
  <c r="G11"/>
  <c r="G12"/>
  <c r="G13"/>
  <c r="G14"/>
  <c r="G15"/>
  <c r="G16"/>
  <c r="G17"/>
  <c r="G18"/>
  <c r="H18"/>
  <c r="G19"/>
  <c r="G20"/>
  <c r="H20"/>
  <c r="G21"/>
  <c r="G22"/>
  <c r="H22"/>
  <c r="L4" i="14"/>
  <c r="L24"/>
  <c r="K24"/>
  <c r="J4"/>
  <c r="J24"/>
  <c r="I24"/>
  <c r="F4"/>
  <c r="D4"/>
  <c r="H4"/>
  <c r="H24"/>
  <c r="E4"/>
  <c r="E24"/>
  <c r="C4"/>
  <c r="F24"/>
  <c r="C2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K23" i="2"/>
  <c r="I23"/>
  <c r="H3"/>
  <c r="G3"/>
  <c r="G23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C23" i="12"/>
  <c r="G5"/>
  <c r="L22" i="3"/>
  <c r="L22" i="4"/>
  <c r="L24" i="5"/>
  <c r="L22" i="6"/>
  <c r="L22" i="7"/>
  <c r="L22" i="8"/>
  <c r="L22" i="9"/>
  <c r="L22" i="11"/>
  <c r="L22" i="10"/>
  <c r="L22" i="12"/>
  <c r="L22" i="13"/>
  <c r="L20" i="3"/>
  <c r="L20" i="4"/>
  <c r="L22" i="5"/>
  <c r="L20" i="6"/>
  <c r="L20" i="7"/>
  <c r="L20" i="8"/>
  <c r="L20" i="9"/>
  <c r="L20" i="11"/>
  <c r="L20" i="10"/>
  <c r="L20" i="12"/>
  <c r="L20" i="13"/>
  <c r="L18" i="3"/>
  <c r="L18" i="4"/>
  <c r="L20" i="5"/>
  <c r="L18" i="6"/>
  <c r="L18" i="7"/>
  <c r="L18" i="8"/>
  <c r="L18" i="9"/>
  <c r="L18" i="11"/>
  <c r="L18" i="10"/>
  <c r="L18" i="12"/>
  <c r="L18" i="13"/>
  <c r="L16" i="3"/>
  <c r="L16" i="4"/>
  <c r="L18" i="5"/>
  <c r="L16" i="6"/>
  <c r="L16" i="7"/>
  <c r="L16" i="8"/>
  <c r="L16" i="9"/>
  <c r="L16" i="11"/>
  <c r="L16" i="10"/>
  <c r="L16" i="12"/>
  <c r="L16" i="13"/>
  <c r="L14" i="3"/>
  <c r="L14" i="4"/>
  <c r="L16" i="5"/>
  <c r="L14" i="6"/>
  <c r="L14" i="7"/>
  <c r="L14" i="8"/>
  <c r="L14" i="9"/>
  <c r="L14" i="11"/>
  <c r="L14" i="10"/>
  <c r="L14" i="12"/>
  <c r="L14" i="13"/>
  <c r="L12" i="3"/>
  <c r="L12" i="4"/>
  <c r="L14" i="5"/>
  <c r="L12" i="6"/>
  <c r="L12" i="7"/>
  <c r="L12" i="8"/>
  <c r="L12" i="9"/>
  <c r="L12" i="11"/>
  <c r="L12" i="10"/>
  <c r="L12" i="12"/>
  <c r="L12" i="13"/>
  <c r="L10" i="3"/>
  <c r="L10" i="4"/>
  <c r="L12" i="5"/>
  <c r="L10" i="6"/>
  <c r="L10" i="7"/>
  <c r="L10" i="8"/>
  <c r="L10" i="9"/>
  <c r="L10" i="11"/>
  <c r="L10" i="10"/>
  <c r="L10" i="12"/>
  <c r="L10" i="13"/>
  <c r="L8" i="3"/>
  <c r="L8" i="4"/>
  <c r="L10" i="5"/>
  <c r="L8" i="6"/>
  <c r="L8" i="7"/>
  <c r="L8" i="8"/>
  <c r="L8" i="9"/>
  <c r="L8" i="11"/>
  <c r="L8" i="10"/>
  <c r="L8" i="12"/>
  <c r="L8" i="13"/>
  <c r="L6" i="3"/>
  <c r="L6" i="4"/>
  <c r="L8" i="5"/>
  <c r="L6" i="6"/>
  <c r="L6" i="7"/>
  <c r="L6" i="8"/>
  <c r="L6" i="9"/>
  <c r="L6" i="11"/>
  <c r="L6" i="10"/>
  <c r="L6" i="12"/>
  <c r="L6" i="13"/>
  <c r="L4" i="3"/>
  <c r="J22"/>
  <c r="J22" i="4"/>
  <c r="J24" i="5"/>
  <c r="J22" i="6"/>
  <c r="J22" i="7"/>
  <c r="J22" i="8"/>
  <c r="J22" i="9"/>
  <c r="J22" i="11"/>
  <c r="J22" i="10"/>
  <c r="J22" i="12"/>
  <c r="J22" i="13"/>
  <c r="J20" i="3"/>
  <c r="J20" i="4"/>
  <c r="J22" i="5"/>
  <c r="J20" i="6"/>
  <c r="J20" i="7"/>
  <c r="J20" i="8"/>
  <c r="J20" i="9"/>
  <c r="J20" i="11"/>
  <c r="J20" i="10"/>
  <c r="J20" i="12"/>
  <c r="J20" i="13"/>
  <c r="J18" i="3"/>
  <c r="J18" i="4"/>
  <c r="J20" i="5"/>
  <c r="J18" i="6"/>
  <c r="J18" i="7"/>
  <c r="J18" i="8"/>
  <c r="J18" i="9"/>
  <c r="J18" i="11"/>
  <c r="J18" i="10"/>
  <c r="J18" i="12"/>
  <c r="J18" i="13"/>
  <c r="J16" i="3"/>
  <c r="J16" i="4"/>
  <c r="J18" i="5"/>
  <c r="J16" i="6"/>
  <c r="J16" i="7"/>
  <c r="J16" i="8"/>
  <c r="J16" i="9"/>
  <c r="J16" i="11"/>
  <c r="J16" i="10"/>
  <c r="J16" i="12"/>
  <c r="J16" i="13"/>
  <c r="L21" i="3"/>
  <c r="L21" i="4"/>
  <c r="L23" i="5"/>
  <c r="L21" i="6"/>
  <c r="L21" i="7"/>
  <c r="L21" i="8"/>
  <c r="L21" i="9"/>
  <c r="L21" i="11"/>
  <c r="L21" i="10"/>
  <c r="L21" i="12"/>
  <c r="L21" i="13"/>
  <c r="L19" i="3"/>
  <c r="L19" i="4"/>
  <c r="L21" i="5"/>
  <c r="L19" i="6"/>
  <c r="L19" i="7"/>
  <c r="L19" i="8"/>
  <c r="L19" i="9"/>
  <c r="L19" i="11"/>
  <c r="L19" i="10"/>
  <c r="L19" i="12"/>
  <c r="L19" i="13"/>
  <c r="L17" i="3"/>
  <c r="L17" i="4"/>
  <c r="L19" i="5"/>
  <c r="L17" i="6"/>
  <c r="L17" i="7"/>
  <c r="L17" i="8"/>
  <c r="L17" i="9"/>
  <c r="L17" i="11"/>
  <c r="L17" i="10"/>
  <c r="L17" i="12"/>
  <c r="L17" i="13"/>
  <c r="L15" i="3"/>
  <c r="L15" i="4"/>
  <c r="L17" i="5"/>
  <c r="L15" i="6"/>
  <c r="L15" i="7"/>
  <c r="L15" i="8"/>
  <c r="L15" i="9"/>
  <c r="L15" i="11"/>
  <c r="L15" i="10"/>
  <c r="L15" i="12"/>
  <c r="L15" i="13"/>
  <c r="L13" i="3"/>
  <c r="L13" i="4"/>
  <c r="L15" i="5"/>
  <c r="L13" i="6"/>
  <c r="L13" i="7"/>
  <c r="L13" i="8"/>
  <c r="L13" i="9"/>
  <c r="L13" i="11"/>
  <c r="L13" i="10"/>
  <c r="L13" i="12"/>
  <c r="L13" i="13"/>
  <c r="L11" i="3"/>
  <c r="L11" i="4"/>
  <c r="L13" i="5"/>
  <c r="L11" i="6"/>
  <c r="L11" i="7"/>
  <c r="L11" i="8"/>
  <c r="L11" i="9"/>
  <c r="L11" i="11"/>
  <c r="L11" i="10"/>
  <c r="L11" i="12"/>
  <c r="L11" i="13"/>
  <c r="L9" i="3"/>
  <c r="L9" i="4"/>
  <c r="L11" i="5"/>
  <c r="L9" i="6"/>
  <c r="L9" i="7"/>
  <c r="L9" i="8"/>
  <c r="L9" i="9"/>
  <c r="L9" i="11"/>
  <c r="L9" i="10"/>
  <c r="L9" i="12"/>
  <c r="L9" i="13"/>
  <c r="L7" i="3"/>
  <c r="L7" i="4"/>
  <c r="L9" i="5"/>
  <c r="L7" i="6"/>
  <c r="L7" i="7"/>
  <c r="L7" i="8"/>
  <c r="L7" i="9"/>
  <c r="L7" i="11"/>
  <c r="L7" i="10"/>
  <c r="L7" i="12"/>
  <c r="L7" i="13"/>
  <c r="L5" i="3"/>
  <c r="L5" i="4"/>
  <c r="L7" i="5"/>
  <c r="L5" i="6"/>
  <c r="L5" i="7"/>
  <c r="L5" i="8"/>
  <c r="L5" i="9"/>
  <c r="L5" i="11"/>
  <c r="L5" i="10"/>
  <c r="L5" i="12"/>
  <c r="L5" i="13"/>
  <c r="G23" i="10"/>
  <c r="G23" i="12"/>
  <c r="J21" i="3"/>
  <c r="J21" i="4"/>
  <c r="J23" i="5"/>
  <c r="J21" i="6"/>
  <c r="J21" i="7"/>
  <c r="J21" i="8"/>
  <c r="J21" i="9"/>
  <c r="J21" i="11"/>
  <c r="J21" i="10"/>
  <c r="J21" i="12"/>
  <c r="J21" i="13"/>
  <c r="J19" i="3"/>
  <c r="J19" i="4"/>
  <c r="J21" i="5"/>
  <c r="J19" i="6"/>
  <c r="J19" i="7"/>
  <c r="J19" i="8"/>
  <c r="J19" i="9"/>
  <c r="J19" i="11"/>
  <c r="J19" i="10"/>
  <c r="J19" i="12"/>
  <c r="J19" i="13"/>
  <c r="J17" i="3"/>
  <c r="J17" i="4"/>
  <c r="J19" i="5"/>
  <c r="J17" i="6"/>
  <c r="J17" i="7"/>
  <c r="J17" i="8"/>
  <c r="J17" i="9"/>
  <c r="J17" i="11"/>
  <c r="J17" i="10"/>
  <c r="J17" i="12"/>
  <c r="J17" i="13"/>
  <c r="L3" i="3"/>
  <c r="L3" i="4"/>
  <c r="L4"/>
  <c r="L6" i="5"/>
  <c r="L4" i="6"/>
  <c r="L4" i="7"/>
  <c r="L4" i="8"/>
  <c r="L4" i="9"/>
  <c r="L4" i="11"/>
  <c r="L4" i="10"/>
  <c r="L4" i="12"/>
  <c r="E23" i="13"/>
  <c r="G3"/>
  <c r="G25" s="1"/>
  <c r="G23"/>
  <c r="D21" i="3"/>
  <c r="D21" i="4" s="1"/>
  <c r="H21" i="2"/>
  <c r="D23"/>
  <c r="L23"/>
  <c r="J12" i="3"/>
  <c r="J12" i="4"/>
  <c r="J14" i="5"/>
  <c r="J12" i="6"/>
  <c r="J12" i="7"/>
  <c r="J12" i="8"/>
  <c r="J12" i="9"/>
  <c r="J12" i="11"/>
  <c r="J12" i="10"/>
  <c r="J12" i="12"/>
  <c r="J12" i="13"/>
  <c r="J10" i="3"/>
  <c r="J10" i="4"/>
  <c r="J12" i="5"/>
  <c r="J10" i="6"/>
  <c r="J10" i="7"/>
  <c r="J10" i="8"/>
  <c r="J10" i="9"/>
  <c r="J10" i="11"/>
  <c r="J10" i="10"/>
  <c r="J10" i="12"/>
  <c r="J10" i="13"/>
  <c r="J4"/>
  <c r="D24" i="14"/>
  <c r="J14" i="3"/>
  <c r="J14" i="4"/>
  <c r="J16" i="5"/>
  <c r="J14" i="6"/>
  <c r="J14" i="7"/>
  <c r="J14" i="8"/>
  <c r="J14" i="9"/>
  <c r="J14" i="11"/>
  <c r="J14" i="10"/>
  <c r="J14" i="12"/>
  <c r="J14" i="13"/>
  <c r="J9" i="3"/>
  <c r="J28" s="1"/>
  <c r="J9" i="4"/>
  <c r="J28" s="1"/>
  <c r="J11" i="5"/>
  <c r="J30" s="1"/>
  <c r="J9" i="6"/>
  <c r="J28" s="1"/>
  <c r="J9" i="7"/>
  <c r="J28" s="1"/>
  <c r="J9" i="8"/>
  <c r="J28" s="1"/>
  <c r="J9" i="9"/>
  <c r="J28" s="1"/>
  <c r="J9" i="11"/>
  <c r="J28" s="1"/>
  <c r="J9" i="10"/>
  <c r="J28" s="1"/>
  <c r="J9" i="12"/>
  <c r="J28" s="1"/>
  <c r="J9" i="13"/>
  <c r="J28" s="1"/>
  <c r="J7" i="3"/>
  <c r="J7" i="4"/>
  <c r="J9" i="5"/>
  <c r="J7" i="6"/>
  <c r="J7" i="7"/>
  <c r="J7" i="8"/>
  <c r="J7" i="9"/>
  <c r="J7" i="11"/>
  <c r="J7" i="10"/>
  <c r="J7" i="12"/>
  <c r="J7" i="13"/>
  <c r="J5" i="3"/>
  <c r="J5" i="4"/>
  <c r="J7" i="5"/>
  <c r="J5" i="6"/>
  <c r="J5" i="7"/>
  <c r="J5" i="8"/>
  <c r="J5" i="9"/>
  <c r="J5" i="11"/>
  <c r="J5" i="10"/>
  <c r="J5" i="12"/>
  <c r="G23" i="11"/>
  <c r="D7" i="3"/>
  <c r="D10"/>
  <c r="D10" i="4"/>
  <c r="F13" i="3"/>
  <c r="D4" i="4"/>
  <c r="D4" i="6"/>
  <c r="D4" i="7"/>
  <c r="D20" i="4"/>
  <c r="D20" i="6"/>
  <c r="J23" i="2"/>
  <c r="F13" i="4"/>
  <c r="D7"/>
  <c r="D7" i="6"/>
  <c r="F15" i="5"/>
  <c r="F13" i="6"/>
  <c r="F13" i="7"/>
  <c r="F13" i="8"/>
  <c r="F13" i="9"/>
  <c r="F13" i="11" s="1"/>
  <c r="G4" i="14"/>
  <c r="G24"/>
  <c r="H21" i="4"/>
  <c r="H21" i="3"/>
  <c r="H17" i="2"/>
  <c r="H23" i="5"/>
  <c r="H13" i="2"/>
  <c r="G23" i="9"/>
  <c r="G25" i="5"/>
  <c r="D21" i="6"/>
  <c r="H17" i="3"/>
  <c r="L23" i="4"/>
  <c r="L5" i="5"/>
  <c r="L4" i="13"/>
  <c r="M4" i="12"/>
  <c r="M4" i="13"/>
  <c r="L23" i="3"/>
  <c r="J3" i="4"/>
  <c r="J23" i="3"/>
  <c r="F19" i="5"/>
  <c r="H17" i="4"/>
  <c r="F16"/>
  <c r="F18" i="5"/>
  <c r="F16" i="6"/>
  <c r="F16" i="7"/>
  <c r="F16" i="8"/>
  <c r="F16" i="9"/>
  <c r="F16" i="11"/>
  <c r="F16" i="10" s="1"/>
  <c r="H16" i="3"/>
  <c r="H5"/>
  <c r="F5" i="4"/>
  <c r="F7" i="5"/>
  <c r="F5" i="6"/>
  <c r="F5" i="7"/>
  <c r="F5" i="8"/>
  <c r="F5" i="9"/>
  <c r="F5" i="11" s="1"/>
  <c r="F7" i="4"/>
  <c r="H7" i="3"/>
  <c r="F12" i="5"/>
  <c r="F10" i="6"/>
  <c r="F10" i="7"/>
  <c r="F10" i="8"/>
  <c r="F10" i="9"/>
  <c r="F10" i="11" s="1"/>
  <c r="H10" i="4"/>
  <c r="F5" i="5"/>
  <c r="F20" i="6"/>
  <c r="F20" i="7"/>
  <c r="F20" i="8"/>
  <c r="F20" i="9"/>
  <c r="F20" i="11" s="1"/>
  <c r="H22" i="5"/>
  <c r="F11" i="4"/>
  <c r="F13" i="5"/>
  <c r="H11" i="3"/>
  <c r="F4" i="4"/>
  <c r="F30" s="1"/>
  <c r="F6" i="5"/>
  <c r="F32" s="1"/>
  <c r="F4" i="6"/>
  <c r="F30" s="1"/>
  <c r="F23" i="3"/>
  <c r="F6" i="4"/>
  <c r="H6" i="3"/>
  <c r="H6" i="5"/>
  <c r="H10" i="3"/>
  <c r="H11" i="4"/>
  <c r="H20"/>
  <c r="F23" i="2"/>
  <c r="H16"/>
  <c r="H15"/>
  <c r="H14"/>
  <c r="H12"/>
  <c r="H11"/>
  <c r="H6"/>
  <c r="H5"/>
  <c r="H4"/>
  <c r="H20" i="3"/>
  <c r="H4"/>
  <c r="D4" i="8"/>
  <c r="D7" i="7"/>
  <c r="H12" i="5"/>
  <c r="D10" i="6"/>
  <c r="D20" i="7"/>
  <c r="H9" i="3"/>
  <c r="D9" i="4"/>
  <c r="D8"/>
  <c r="D29" s="1"/>
  <c r="H8" i="3"/>
  <c r="H29" s="1"/>
  <c r="D17" i="9"/>
  <c r="D6"/>
  <c r="D11" i="7"/>
  <c r="D3" i="4"/>
  <c r="H3" i="3"/>
  <c r="D23"/>
  <c r="H22"/>
  <c r="D22" i="4"/>
  <c r="H19" i="3"/>
  <c r="D19" i="4"/>
  <c r="H18" i="3"/>
  <c r="D18" i="4"/>
  <c r="H15" i="3"/>
  <c r="D15" i="4"/>
  <c r="H14" i="3"/>
  <c r="D14" i="4"/>
  <c r="D13"/>
  <c r="H13" i="3"/>
  <c r="D12" i="4"/>
  <c r="H12" i="3"/>
  <c r="H19" i="2"/>
  <c r="H16" i="4"/>
  <c r="H23" i="2"/>
  <c r="H20" i="6"/>
  <c r="D21" i="7"/>
  <c r="H21" i="6"/>
  <c r="H4" i="4"/>
  <c r="F23"/>
  <c r="L3" i="6"/>
  <c r="L25" i="5"/>
  <c r="J5"/>
  <c r="J23" i="4"/>
  <c r="H6"/>
  <c r="F8" i="5"/>
  <c r="F4" i="7"/>
  <c r="F30" s="1"/>
  <c r="H4" i="6"/>
  <c r="F11"/>
  <c r="H13" i="5"/>
  <c r="F3" i="6"/>
  <c r="F9" i="5"/>
  <c r="F25"/>
  <c r="H7" i="4"/>
  <c r="F17" i="6"/>
  <c r="H19" i="5"/>
  <c r="H5" i="4"/>
  <c r="D5" i="6"/>
  <c r="H7" i="5"/>
  <c r="H12" i="4"/>
  <c r="H13"/>
  <c r="D11" i="8"/>
  <c r="H9" i="4"/>
  <c r="H18" i="5"/>
  <c r="D16" i="6"/>
  <c r="D20" i="8"/>
  <c r="H20" i="7"/>
  <c r="D10"/>
  <c r="H10" i="6"/>
  <c r="D4" i="9"/>
  <c r="H14" i="4"/>
  <c r="H15"/>
  <c r="H18"/>
  <c r="H19"/>
  <c r="H22"/>
  <c r="D23"/>
  <c r="H3"/>
  <c r="H25"/>
  <c r="D6" i="11"/>
  <c r="D17"/>
  <c r="H8" i="4"/>
  <c r="H29" s="1"/>
  <c r="D31" i="5"/>
  <c r="D7" i="8"/>
  <c r="H23" i="3"/>
  <c r="D21" i="8"/>
  <c r="H21" i="7"/>
  <c r="L3"/>
  <c r="L23" i="6"/>
  <c r="J3"/>
  <c r="J25" i="5"/>
  <c r="F6" i="6"/>
  <c r="H8" i="5"/>
  <c r="H17" i="6"/>
  <c r="F17" i="7"/>
  <c r="F7" i="6"/>
  <c r="H9" i="5"/>
  <c r="F3" i="7"/>
  <c r="F23" i="6"/>
  <c r="F11" i="7"/>
  <c r="H11" i="6"/>
  <c r="F4" i="8"/>
  <c r="F30" s="1"/>
  <c r="H4" i="7"/>
  <c r="D17" i="10"/>
  <c r="D6"/>
  <c r="D15" i="6"/>
  <c r="H17" i="5"/>
  <c r="D14" i="6"/>
  <c r="H16" i="5"/>
  <c r="D4" i="11"/>
  <c r="D16" i="7"/>
  <c r="H16" i="6"/>
  <c r="D11" i="9"/>
  <c r="D7"/>
  <c r="H10" i="5"/>
  <c r="H31" s="1"/>
  <c r="D8" i="6"/>
  <c r="D29" s="1"/>
  <c r="H5" i="5"/>
  <c r="D3" i="6"/>
  <c r="D25" i="5"/>
  <c r="D22" i="6"/>
  <c r="H24" i="5"/>
  <c r="D19" i="6"/>
  <c r="H21" i="5"/>
  <c r="H20"/>
  <c r="D18" i="6"/>
  <c r="H10" i="7"/>
  <c r="D10" i="8"/>
  <c r="H20"/>
  <c r="D20" i="9"/>
  <c r="H20" s="1"/>
  <c r="H11" i="5"/>
  <c r="H30" s="1"/>
  <c r="D9" i="6"/>
  <c r="D28" s="1"/>
  <c r="D13"/>
  <c r="H15" i="5"/>
  <c r="H14"/>
  <c r="D12" i="6"/>
  <c r="D5" i="7"/>
  <c r="H5" i="6"/>
  <c r="H23" i="4"/>
  <c r="H21" i="8"/>
  <c r="D21" i="9"/>
  <c r="L3" i="8"/>
  <c r="L23" i="7"/>
  <c r="J3"/>
  <c r="J23" i="6"/>
  <c r="H17" i="7"/>
  <c r="F17" i="8"/>
  <c r="F4" i="9"/>
  <c r="F30" s="1"/>
  <c r="H4" i="8"/>
  <c r="F11"/>
  <c r="H11" i="7"/>
  <c r="F3" i="8"/>
  <c r="F6" i="7"/>
  <c r="F7"/>
  <c r="F23"/>
  <c r="H7" i="6"/>
  <c r="H6"/>
  <c r="D5" i="8"/>
  <c r="H5" i="7"/>
  <c r="D13"/>
  <c r="H13" i="6"/>
  <c r="H19"/>
  <c r="D19" i="7"/>
  <c r="H22" i="6"/>
  <c r="D22" i="7"/>
  <c r="H3" i="6"/>
  <c r="D23"/>
  <c r="D3" i="7"/>
  <c r="D8"/>
  <c r="D29" s="1"/>
  <c r="H8" i="6"/>
  <c r="H29" s="1"/>
  <c r="D7" i="11"/>
  <c r="D4" i="10"/>
  <c r="D17" i="12"/>
  <c r="D12" i="7"/>
  <c r="H12" i="6"/>
  <c r="H9"/>
  <c r="D9" i="7"/>
  <c r="D20" i="11"/>
  <c r="H10" i="8"/>
  <c r="D10" i="9"/>
  <c r="H18" i="6"/>
  <c r="D18" i="7"/>
  <c r="D11" i="11"/>
  <c r="D11" i="10" s="1"/>
  <c r="D16" i="8"/>
  <c r="H16" i="7"/>
  <c r="H14" i="6"/>
  <c r="D14" i="7"/>
  <c r="D15"/>
  <c r="H15" i="6"/>
  <c r="D6" i="12"/>
  <c r="H25" i="5"/>
  <c r="H21" i="9"/>
  <c r="D21" i="11"/>
  <c r="L23" i="8"/>
  <c r="L3" i="9"/>
  <c r="J3" i="8"/>
  <c r="J23" i="7"/>
  <c r="F17" i="9"/>
  <c r="H17" i="8"/>
  <c r="F6"/>
  <c r="H6" i="7"/>
  <c r="F7" i="8"/>
  <c r="H7" i="7"/>
  <c r="F3" i="9"/>
  <c r="F3" i="11" s="1"/>
  <c r="F3" i="10" s="1"/>
  <c r="F23" i="8"/>
  <c r="F11" i="9"/>
  <c r="F11" i="11" s="1"/>
  <c r="H11" i="8"/>
  <c r="F4" i="11"/>
  <c r="H4" i="9"/>
  <c r="D15" i="8"/>
  <c r="H15" i="7"/>
  <c r="D16" i="9"/>
  <c r="H16" i="8"/>
  <c r="D20" i="10"/>
  <c r="H12" i="7"/>
  <c r="D12" i="8"/>
  <c r="D17" i="13"/>
  <c r="D7" i="10"/>
  <c r="D8" i="8"/>
  <c r="D29" s="1"/>
  <c r="H8" i="7"/>
  <c r="H29" s="1"/>
  <c r="D22" i="8"/>
  <c r="H22" i="7"/>
  <c r="D19" i="8"/>
  <c r="H19" i="7"/>
  <c r="D6" i="13"/>
  <c r="D14" i="8"/>
  <c r="H14" i="7"/>
  <c r="D18" i="8"/>
  <c r="H18" i="7"/>
  <c r="H10" i="9"/>
  <c r="D10" i="11"/>
  <c r="D9" i="8"/>
  <c r="D28" s="1"/>
  <c r="H9" i="7"/>
  <c r="H28" s="1"/>
  <c r="D4" i="12"/>
  <c r="D4" i="13" s="1"/>
  <c r="D3" i="8"/>
  <c r="D23" i="7"/>
  <c r="H3"/>
  <c r="H13"/>
  <c r="D13" i="8"/>
  <c r="D5" i="9"/>
  <c r="H5" s="1"/>
  <c r="H5" i="8"/>
  <c r="H23" i="6"/>
  <c r="D21" i="10"/>
  <c r="L3" i="11"/>
  <c r="L23" i="9"/>
  <c r="J3"/>
  <c r="J23" i="8"/>
  <c r="H4" i="11"/>
  <c r="H11" i="9"/>
  <c r="F7"/>
  <c r="F7" i="11" s="1"/>
  <c r="H7" i="8"/>
  <c r="F6" i="9"/>
  <c r="F6" i="11" s="1"/>
  <c r="H6" i="8"/>
  <c r="F17" i="11"/>
  <c r="F17" i="10" s="1"/>
  <c r="H17" i="9"/>
  <c r="D5" i="11"/>
  <c r="D10" i="10"/>
  <c r="D7" i="12"/>
  <c r="H12" i="8"/>
  <c r="D12" i="9"/>
  <c r="H12" s="1"/>
  <c r="D13"/>
  <c r="H13" s="1"/>
  <c r="H13" i="8"/>
  <c r="D3" i="9"/>
  <c r="H3" s="1"/>
  <c r="D23" i="8"/>
  <c r="H3"/>
  <c r="H9"/>
  <c r="D9" i="9"/>
  <c r="D18"/>
  <c r="H18" s="1"/>
  <c r="H18" i="8"/>
  <c r="H14"/>
  <c r="D14" i="9"/>
  <c r="D19"/>
  <c r="D19" i="11" s="1"/>
  <c r="H19" i="8"/>
  <c r="D22" i="9"/>
  <c r="H22" i="8"/>
  <c r="D8" i="9"/>
  <c r="D29" s="1"/>
  <c r="H8" i="8"/>
  <c r="H29" s="1"/>
  <c r="D20" i="12"/>
  <c r="D16" i="11"/>
  <c r="H16" i="9"/>
  <c r="H15" i="8"/>
  <c r="D15" i="9"/>
  <c r="H23" i="7"/>
  <c r="D21" i="12"/>
  <c r="L3" i="10"/>
  <c r="L23" i="11"/>
  <c r="J3"/>
  <c r="J23" i="9"/>
  <c r="H17" i="11"/>
  <c r="H6" i="9"/>
  <c r="H7"/>
  <c r="D16" i="10"/>
  <c r="H16" i="11"/>
  <c r="D8"/>
  <c r="D29" s="1"/>
  <c r="D22"/>
  <c r="H22" i="9"/>
  <c r="H19"/>
  <c r="D18" i="11"/>
  <c r="D12"/>
  <c r="D10" i="12"/>
  <c r="D15" i="11"/>
  <c r="H15" i="9"/>
  <c r="D20" i="13"/>
  <c r="D14" i="11"/>
  <c r="H14" i="9"/>
  <c r="H9"/>
  <c r="D9" i="11"/>
  <c r="D28" s="1"/>
  <c r="D3"/>
  <c r="D23" i="9"/>
  <c r="D13" i="11"/>
  <c r="D13" i="10" s="1"/>
  <c r="D13" i="12" s="1"/>
  <c r="D13" i="13" s="1"/>
  <c r="D7"/>
  <c r="D5" i="10"/>
  <c r="D5" i="12" s="1"/>
  <c r="H23" i="8"/>
  <c r="D21" i="13"/>
  <c r="L3" i="12"/>
  <c r="L3" i="13"/>
  <c r="L23" i="10"/>
  <c r="L23" i="12"/>
  <c r="L23" i="13"/>
  <c r="J3" i="10"/>
  <c r="J23" i="11"/>
  <c r="D9" i="10"/>
  <c r="D10" i="13"/>
  <c r="D12" i="10"/>
  <c r="D12" i="12" s="1"/>
  <c r="D12" i="13" s="1"/>
  <c r="D3" i="10"/>
  <c r="D14"/>
  <c r="D15"/>
  <c r="D18"/>
  <c r="H22" i="11"/>
  <c r="D22" i="10"/>
  <c r="D8"/>
  <c r="D29" s="1"/>
  <c r="D16" i="12"/>
  <c r="J3"/>
  <c r="J23" i="10"/>
  <c r="D16" i="13"/>
  <c r="D18" i="12"/>
  <c r="D15"/>
  <c r="D14"/>
  <c r="D8"/>
  <c r="D29" s="1"/>
  <c r="D22"/>
  <c r="H22" i="10"/>
  <c r="D3" i="12"/>
  <c r="D9"/>
  <c r="J3" i="13"/>
  <c r="D3"/>
  <c r="D9"/>
  <c r="H22" i="12"/>
  <c r="D22" i="13"/>
  <c r="H22"/>
  <c r="D14"/>
  <c r="D15"/>
  <c r="D18"/>
  <c r="G23" i="3"/>
  <c r="J5" i="13"/>
  <c r="J23"/>
  <c r="J23" i="12"/>
  <c r="G23" i="4"/>
  <c r="G23" i="6"/>
  <c r="G23" i="7"/>
  <c r="G23" i="8"/>
  <c r="G25" i="7"/>
  <c r="G25" i="4"/>
  <c r="F25" i="7"/>
  <c r="F25" i="4"/>
  <c r="D25" i="7"/>
  <c r="D25" i="4"/>
  <c r="H25" i="7"/>
  <c r="D25" i="11"/>
  <c r="G25"/>
  <c r="D25" i="13" l="1"/>
  <c r="G28" i="10"/>
  <c r="G29"/>
  <c r="G30"/>
  <c r="G28" i="12"/>
  <c r="G29"/>
  <c r="G28" i="13"/>
  <c r="G29"/>
  <c r="G30" i="12"/>
  <c r="G30" i="13"/>
  <c r="J29" i="12"/>
  <c r="J29" i="10"/>
  <c r="J29" i="11"/>
  <c r="J29" i="9"/>
  <c r="J29" i="8"/>
  <c r="J29" i="7"/>
  <c r="J29" i="6"/>
  <c r="J31" i="5"/>
  <c r="J29" i="4"/>
  <c r="J29" i="3"/>
  <c r="J29" i="2"/>
  <c r="J30" i="12"/>
  <c r="J30" i="10"/>
  <c r="J30" i="11"/>
  <c r="J30" i="9"/>
  <c r="J30" i="8"/>
  <c r="J30" i="7"/>
  <c r="J30" i="6"/>
  <c r="J32" i="5"/>
  <c r="J30" i="4"/>
  <c r="J30" i="3"/>
  <c r="J30" i="2"/>
  <c r="H28" i="9"/>
  <c r="F18" i="10"/>
  <c r="H18" i="11"/>
  <c r="D23"/>
  <c r="D19" i="10"/>
  <c r="D19" i="12" s="1"/>
  <c r="D19" i="13" s="1"/>
  <c r="F15" i="10"/>
  <c r="H15" i="11"/>
  <c r="F14" i="10"/>
  <c r="H14" i="11"/>
  <c r="D11" i="12"/>
  <c r="D11" i="13" s="1"/>
  <c r="D23" i="10"/>
  <c r="D28" i="12"/>
  <c r="D8" i="13"/>
  <c r="D29" s="1"/>
  <c r="H8" i="9"/>
  <c r="H29" s="1"/>
  <c r="F5" i="10"/>
  <c r="H5" i="11"/>
  <c r="D23" i="12"/>
  <c r="D5" i="13"/>
  <c r="F3" i="12"/>
  <c r="H3" i="10"/>
  <c r="H3" i="11"/>
  <c r="F17" i="12"/>
  <c r="H17" i="10"/>
  <c r="F23" i="11"/>
  <c r="F6" i="10"/>
  <c r="H6" i="11"/>
  <c r="H7"/>
  <c r="F25"/>
  <c r="F7" i="10"/>
  <c r="F11"/>
  <c r="H11" i="11"/>
  <c r="F20" i="10"/>
  <c r="H20" i="11"/>
  <c r="F10" i="10"/>
  <c r="H10" i="11"/>
  <c r="H16" i="10"/>
  <c r="F16" i="12"/>
  <c r="F19" i="10"/>
  <c r="H19" i="11"/>
  <c r="F5" i="12"/>
  <c r="H5" i="10"/>
  <c r="F13"/>
  <c r="H13" i="11"/>
  <c r="H14" i="10"/>
  <c r="F14" i="12"/>
  <c r="H12" i="11"/>
  <c r="F12" i="10"/>
  <c r="F8"/>
  <c r="H8" i="11"/>
  <c r="H29" s="1"/>
  <c r="F21" i="10"/>
  <c r="H21" i="11"/>
  <c r="F15" i="12"/>
  <c r="H15" i="10"/>
  <c r="F9"/>
  <c r="H9" i="11"/>
  <c r="H23" i="9"/>
  <c r="F30" i="11"/>
  <c r="F23" i="9"/>
  <c r="F4" i="10"/>
  <c r="D23" i="13"/>
  <c r="D28"/>
  <c r="D30" i="12"/>
  <c r="F28" i="11"/>
  <c r="H28"/>
  <c r="G28"/>
  <c r="F28" i="9"/>
  <c r="D28"/>
  <c r="G28"/>
  <c r="F28" i="8"/>
  <c r="H28"/>
  <c r="G28"/>
  <c r="F28" i="7"/>
  <c r="D28"/>
  <c r="G28"/>
  <c r="F28" i="6"/>
  <c r="H28"/>
  <c r="G28"/>
  <c r="F30" i="5"/>
  <c r="D30"/>
  <c r="G30"/>
  <c r="F28" i="4"/>
  <c r="H28"/>
  <c r="D28"/>
  <c r="G28"/>
  <c r="F28" i="3"/>
  <c r="H28"/>
  <c r="G28"/>
  <c r="D28"/>
  <c r="J28" i="2"/>
  <c r="F29" i="10"/>
  <c r="F28"/>
  <c r="F28" i="2"/>
  <c r="D28" i="10"/>
  <c r="D30"/>
  <c r="G28" i="2"/>
  <c r="H28"/>
  <c r="D28"/>
  <c r="F29" i="11"/>
  <c r="G29"/>
  <c r="H30"/>
  <c r="D30"/>
  <c r="G30"/>
  <c r="G29" i="9"/>
  <c r="G30"/>
  <c r="F29"/>
  <c r="F29" i="8"/>
  <c r="G29"/>
  <c r="H30" i="9"/>
  <c r="H30" i="8"/>
  <c r="D30" i="9"/>
  <c r="D30" i="8"/>
  <c r="G30"/>
  <c r="F29" i="7"/>
  <c r="G29"/>
  <c r="H30"/>
  <c r="D30"/>
  <c r="G30"/>
  <c r="F29" i="6"/>
  <c r="G29"/>
  <c r="H30"/>
  <c r="D30"/>
  <c r="G30"/>
  <c r="F31" i="5"/>
  <c r="G31"/>
  <c r="H32"/>
  <c r="D32"/>
  <c r="G32"/>
  <c r="G29" i="4"/>
  <c r="G30"/>
  <c r="D30" i="3"/>
  <c r="F29" i="4"/>
  <c r="F29" i="3"/>
  <c r="G29"/>
  <c r="D29"/>
  <c r="H30"/>
  <c r="D30" i="4"/>
  <c r="H30"/>
  <c r="G30" i="3"/>
  <c r="F29" i="2"/>
  <c r="H29"/>
  <c r="G29"/>
  <c r="D29"/>
  <c r="H30"/>
  <c r="F30"/>
  <c r="G30"/>
  <c r="D30"/>
  <c r="D30" i="13"/>
  <c r="J30"/>
  <c r="J29"/>
  <c r="F18" i="12" l="1"/>
  <c r="H18" i="10"/>
  <c r="F3" i="13"/>
  <c r="H3" i="12"/>
  <c r="F12"/>
  <c r="H12" i="10"/>
  <c r="F14" i="13"/>
  <c r="H14" s="1"/>
  <c r="H14" i="12"/>
  <c r="H19" i="10"/>
  <c r="F19" i="12"/>
  <c r="F10"/>
  <c r="H10" i="10"/>
  <c r="F20" i="12"/>
  <c r="H20" i="10"/>
  <c r="H11"/>
  <c r="F11" i="12"/>
  <c r="F17" i="13"/>
  <c r="H17" s="1"/>
  <c r="H17" i="12"/>
  <c r="H23" i="11"/>
  <c r="F30" i="10"/>
  <c r="F4" i="12"/>
  <c r="F23" i="10"/>
  <c r="H4"/>
  <c r="H9"/>
  <c r="F9" i="12"/>
  <c r="H15"/>
  <c r="F15" i="13"/>
  <c r="H15" s="1"/>
  <c r="F21" i="12"/>
  <c r="H21" i="10"/>
  <c r="F8" i="12"/>
  <c r="H8" i="10"/>
  <c r="H29" s="1"/>
  <c r="H13"/>
  <c r="F13" i="12"/>
  <c r="F5" i="13"/>
  <c r="H5" s="1"/>
  <c r="H5" i="12"/>
  <c r="F16" i="13"/>
  <c r="H16" s="1"/>
  <c r="H16" i="12"/>
  <c r="H7" i="10"/>
  <c r="F7" i="12"/>
  <c r="H6" i="10"/>
  <c r="F6" i="12"/>
  <c r="H25" i="11"/>
  <c r="H3" i="13" l="1"/>
  <c r="H18" i="12"/>
  <c r="F18" i="13"/>
  <c r="H18" s="1"/>
  <c r="H28" i="10"/>
  <c r="H6" i="12"/>
  <c r="F6" i="13"/>
  <c r="H6" s="1"/>
  <c r="F7"/>
  <c r="H7" s="1"/>
  <c r="H7" i="12"/>
  <c r="F13" i="13"/>
  <c r="H13" s="1"/>
  <c r="H13" i="12"/>
  <c r="F9" i="13"/>
  <c r="H9" i="12"/>
  <c r="F28"/>
  <c r="H30" i="10"/>
  <c r="H23"/>
  <c r="F30" i="12"/>
  <c r="F4" i="13"/>
  <c r="H4" i="12"/>
  <c r="F23"/>
  <c r="H20"/>
  <c r="F20" i="13"/>
  <c r="H20" s="1"/>
  <c r="F10"/>
  <c r="H10" s="1"/>
  <c r="H10" i="12"/>
  <c r="H12"/>
  <c r="F12" i="13"/>
  <c r="H12" s="1"/>
  <c r="H8" i="12"/>
  <c r="H29" s="1"/>
  <c r="F8" i="13"/>
  <c r="F29" i="12"/>
  <c r="H21"/>
  <c r="F21" i="13"/>
  <c r="H21" s="1"/>
  <c r="F11"/>
  <c r="H11" s="1"/>
  <c r="H11" i="12"/>
  <c r="F19" i="13"/>
  <c r="H19" s="1"/>
  <c r="H19" i="12"/>
  <c r="F25" i="13" l="1"/>
  <c r="H25"/>
  <c r="H8"/>
  <c r="H29" s="1"/>
  <c r="F29"/>
  <c r="F30"/>
  <c r="H4"/>
  <c r="F23"/>
  <c r="H9"/>
  <c r="H28" s="1"/>
  <c r="F28"/>
  <c r="H23" i="12"/>
  <c r="H30"/>
  <c r="H28"/>
  <c r="H30" i="13" l="1"/>
  <c r="H23"/>
</calcChain>
</file>

<file path=xl/sharedStrings.xml><?xml version="1.0" encoding="utf-8"?>
<sst xmlns="http://schemas.openxmlformats.org/spreadsheetml/2006/main" count="237" uniqueCount="41">
  <si>
    <t>п/п</t>
  </si>
  <si>
    <t>Виды услуг</t>
  </si>
  <si>
    <t>нач. за месяц</t>
  </si>
  <si>
    <t>нач. с нач. года</t>
  </si>
  <si>
    <t>упл. жильц.за мес.</t>
  </si>
  <si>
    <t>упл.ж. с нач года</t>
  </si>
  <si>
    <t>разн. за мес.</t>
  </si>
  <si>
    <t>разн. с нач. отч. пер.</t>
  </si>
  <si>
    <t>выст. за мес.</t>
  </si>
  <si>
    <t xml:space="preserve">выст.с нач.года </t>
  </si>
  <si>
    <t>упл. Рел. в мес.</t>
  </si>
  <si>
    <t>Упл. с нач. года</t>
  </si>
  <si>
    <t>итого</t>
  </si>
  <si>
    <t>Отопление</t>
  </si>
  <si>
    <t xml:space="preserve">Содер общ им </t>
  </si>
  <si>
    <t>Горячее водоснабжение</t>
  </si>
  <si>
    <t>Газ</t>
  </si>
  <si>
    <t>Выборгская набережная 35/1</t>
  </si>
  <si>
    <t>Содержание общ.имущ.дома</t>
  </si>
  <si>
    <t>Уборка и сан.очистка зем.уч.</t>
  </si>
  <si>
    <t>Электроснабжение (инд.потр)</t>
  </si>
  <si>
    <t>Хол.вода</t>
  </si>
  <si>
    <t>Канализир.х.воды</t>
  </si>
  <si>
    <t>Канализир.г.воды</t>
  </si>
  <si>
    <t>Тек.рем.общ.имущ.дома</t>
  </si>
  <si>
    <t>Сод.и тек.рем.в/дом.газосн.</t>
  </si>
  <si>
    <t>Управление многокв.дом.</t>
  </si>
  <si>
    <t>Водоотведение(кв)</t>
  </si>
  <si>
    <t>Эксплуатация общедом.ПУ</t>
  </si>
  <si>
    <t>Хол.водоснабж.(о/д нужды)</t>
  </si>
  <si>
    <t>Водоотведение(о/д нужды)</t>
  </si>
  <si>
    <t>Отопление(о/д нужды)</t>
  </si>
  <si>
    <t>Электроснабжение(общед.нужды)</t>
  </si>
  <si>
    <t>Горячее водоснабж.(о/д нужды)</t>
  </si>
  <si>
    <t>форма 22</t>
  </si>
  <si>
    <t>водоканал</t>
  </si>
  <si>
    <t>ПСК</t>
  </si>
  <si>
    <t>ГУПТЭК</t>
  </si>
  <si>
    <t>Выборгская наб д.35/1</t>
  </si>
  <si>
    <t>за Ноябрь</t>
  </si>
  <si>
    <t>за Декабрь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</si>
</sst>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_ ;[Red]\-0.00\ "/>
  </numFmts>
  <fonts count="6">
    <font>
      <sz val="10"/>
      <name val="Arial"/>
    </font>
    <font>
      <b/>
      <sz val="10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name val="Cambria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shrinkToFit="1"/>
    </xf>
    <xf numFmtId="2" fontId="0" fillId="0" borderId="1" xfId="0" applyNumberFormat="1" applyBorder="1" applyAlignment="1">
      <alignment horizontal="center" shrinkToFi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" fontId="0" fillId="0" borderId="0" xfId="0" applyNumberFormat="1"/>
    <xf numFmtId="0" fontId="1" fillId="0" borderId="0" xfId="0" applyFont="1"/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0" fontId="1" fillId="0" borderId="1" xfId="0" applyFont="1" applyBorder="1" applyAlignment="1">
      <alignment horizontal="center" wrapText="1" shrinkToFit="1"/>
    </xf>
    <xf numFmtId="49" fontId="1" fillId="0" borderId="1" xfId="0" applyNumberFormat="1" applyFont="1" applyBorder="1" applyAlignment="1">
      <alignment horizontal="center" wrapText="1" shrinkToFit="1"/>
    </xf>
    <xf numFmtId="0" fontId="1" fillId="0" borderId="1" xfId="0" applyFont="1" applyBorder="1" applyAlignment="1">
      <alignment wrapText="1" shrinkToFit="1"/>
    </xf>
    <xf numFmtId="2" fontId="0" fillId="2" borderId="1" xfId="0" applyNumberFormat="1" applyFill="1" applyBorder="1" applyAlignment="1">
      <alignment horizontal="center" shrinkToFit="1"/>
    </xf>
    <xf numFmtId="0" fontId="0" fillId="2" borderId="1" xfId="0" applyFill="1" applyBorder="1"/>
    <xf numFmtId="0" fontId="2" fillId="0" borderId="0" xfId="0" applyFont="1"/>
    <xf numFmtId="16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 shrinkToFit="1"/>
    </xf>
    <xf numFmtId="49" fontId="0" fillId="0" borderId="1" xfId="0" applyNumberFormat="1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0" fontId="0" fillId="0" borderId="1" xfId="0" applyBorder="1" applyAlignment="1">
      <alignment wrapText="1" shrinkToFit="1"/>
    </xf>
    <xf numFmtId="0" fontId="0" fillId="2" borderId="1" xfId="0" applyFill="1" applyBorder="1" applyAlignment="1">
      <alignment wrapText="1" shrinkToFit="1"/>
    </xf>
    <xf numFmtId="0" fontId="0" fillId="0" borderId="0" xfId="0" applyAlignment="1">
      <alignment wrapText="1"/>
    </xf>
    <xf numFmtId="2" fontId="3" fillId="2" borderId="1" xfId="0" applyNumberFormat="1" applyFont="1" applyFill="1" applyBorder="1" applyAlignment="1">
      <alignment horizontal="left" vertical="center" wrapText="1" shrinkToFit="1"/>
    </xf>
    <xf numFmtId="0" fontId="3" fillId="2" borderId="0" xfId="0" applyFont="1" applyFill="1" applyAlignment="1">
      <alignment horizontal="left" vertical="center" wrapText="1" shrinkToFit="1"/>
    </xf>
    <xf numFmtId="49" fontId="3" fillId="2" borderId="1" xfId="0" applyNumberFormat="1" applyFont="1" applyFill="1" applyBorder="1" applyAlignment="1">
      <alignment horizontal="left" vertical="center" wrapText="1" shrinkToFi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 shrinkToFit="1"/>
    </xf>
    <xf numFmtId="0" fontId="0" fillId="2" borderId="1" xfId="0" applyFill="1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 shrinkToFit="1"/>
    </xf>
    <xf numFmtId="49" fontId="0" fillId="0" borderId="1" xfId="0" applyNumberFormat="1" applyBorder="1" applyAlignment="1">
      <alignment horizontal="left" vertical="center" wrapText="1" shrinkToFit="1"/>
    </xf>
    <xf numFmtId="0" fontId="0" fillId="2" borderId="1" xfId="0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/>
    </xf>
    <xf numFmtId="164" fontId="0" fillId="0" borderId="1" xfId="0" applyNumberFormat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 shrinkToFit="1"/>
    </xf>
    <xf numFmtId="0" fontId="0" fillId="0" borderId="1" xfId="0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left" vertical="center" wrapText="1"/>
    </xf>
    <xf numFmtId="164" fontId="0" fillId="3" borderId="1" xfId="0" applyNumberFormat="1" applyFill="1" applyBorder="1"/>
    <xf numFmtId="0" fontId="4" fillId="0" borderId="1" xfId="0" applyFont="1" applyBorder="1" applyAlignment="1">
      <alignment wrapText="1" shrinkToFit="1"/>
    </xf>
    <xf numFmtId="0" fontId="0" fillId="3" borderId="1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2" fontId="1" fillId="0" borderId="0" xfId="0" applyNumberFormat="1" applyFont="1"/>
    <xf numFmtId="43" fontId="0" fillId="0" borderId="0" xfId="1" applyFont="1"/>
    <xf numFmtId="43" fontId="1" fillId="0" borderId="0" xfId="1" applyFont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opLeftCell="A2" workbookViewId="0">
      <selection activeCell="F37" sqref="F37"/>
    </sheetView>
  </sheetViews>
  <sheetFormatPr defaultRowHeight="12.75"/>
  <cols>
    <col min="1" max="1" width="3.42578125" customWidth="1"/>
    <col min="2" max="2" width="30.7109375" customWidth="1"/>
    <col min="3" max="3" width="11.140625" customWidth="1"/>
    <col min="4" max="4" width="10.85546875" customWidth="1"/>
    <col min="5" max="5" width="10.28515625" customWidth="1"/>
    <col min="6" max="6" width="10.5703125" customWidth="1"/>
    <col min="7" max="7" width="11" customWidth="1"/>
    <col min="8" max="8" width="12.42578125" customWidth="1"/>
    <col min="9" max="9" width="11.140625" customWidth="1"/>
    <col min="10" max="10" width="11.28515625" customWidth="1"/>
    <col min="11" max="12" width="9.28515625" bestFit="1" customWidth="1"/>
  </cols>
  <sheetData>
    <row r="2" spans="1:12" s="27" customFormat="1" ht="38.25">
      <c r="A2" s="21" t="s">
        <v>0</v>
      </c>
      <c r="B2" s="22" t="s">
        <v>1</v>
      </c>
      <c r="C2" s="23" t="s">
        <v>2</v>
      </c>
      <c r="D2" s="24" t="s">
        <v>3</v>
      </c>
      <c r="E2" s="25" t="s">
        <v>4</v>
      </c>
      <c r="F2" s="24" t="s">
        <v>5</v>
      </c>
      <c r="G2" s="24" t="s">
        <v>6</v>
      </c>
      <c r="H2" s="26" t="s">
        <v>7</v>
      </c>
      <c r="I2" s="25" t="s">
        <v>8</v>
      </c>
      <c r="J2" s="26" t="s">
        <v>9</v>
      </c>
      <c r="K2" s="22" t="s">
        <v>10</v>
      </c>
      <c r="L2" s="24" t="s">
        <v>11</v>
      </c>
    </row>
    <row r="3" spans="1:12" ht="14.1" customHeight="1">
      <c r="A3" s="1">
        <v>1</v>
      </c>
      <c r="B3" s="28" t="s">
        <v>18</v>
      </c>
      <c r="C3" s="8">
        <v>30172.03</v>
      </c>
      <c r="D3" s="12">
        <f>C3</f>
        <v>30172.03</v>
      </c>
      <c r="E3" s="9">
        <v>26464.38</v>
      </c>
      <c r="F3" s="12">
        <f>E3</f>
        <v>26464.38</v>
      </c>
      <c r="G3" s="12">
        <f>E3-C3</f>
        <v>-3707.6499999999978</v>
      </c>
      <c r="H3" s="13">
        <f>F3-D3</f>
        <v>-3707.6499999999978</v>
      </c>
      <c r="I3" s="9"/>
      <c r="J3" s="13">
        <f>I3</f>
        <v>0</v>
      </c>
      <c r="K3" s="8"/>
      <c r="L3" s="12">
        <f>K3</f>
        <v>0</v>
      </c>
    </row>
    <row r="4" spans="1:12" ht="14.1" customHeight="1">
      <c r="A4" s="1">
        <f>A3+1</f>
        <v>2</v>
      </c>
      <c r="B4" s="28" t="s">
        <v>13</v>
      </c>
      <c r="C4" s="8">
        <v>106443.25</v>
      </c>
      <c r="D4" s="12">
        <f t="shared" ref="D4:D22" si="0">C4</f>
        <v>106443.25</v>
      </c>
      <c r="E4" s="9">
        <v>92430.26</v>
      </c>
      <c r="F4" s="12">
        <f t="shared" ref="F4:F22" si="1">E4</f>
        <v>92430.26</v>
      </c>
      <c r="G4" s="12">
        <f t="shared" ref="G4:G22" si="2">E4-C4</f>
        <v>-14012.990000000005</v>
      </c>
      <c r="H4" s="13">
        <f t="shared" ref="H4:H22" si="3">F4-D4</f>
        <v>-14012.990000000005</v>
      </c>
      <c r="I4" s="9"/>
      <c r="J4" s="13">
        <f t="shared" ref="J4:J21" si="4">I4</f>
        <v>0</v>
      </c>
      <c r="K4" s="8"/>
      <c r="L4" s="12">
        <f t="shared" ref="L4:L22" si="5">K4</f>
        <v>0</v>
      </c>
    </row>
    <row r="5" spans="1:12" ht="14.1" customHeight="1">
      <c r="A5" s="1">
        <f t="shared" ref="A5:A22" si="6">A4+1</f>
        <v>3</v>
      </c>
      <c r="B5" s="28" t="s">
        <v>15</v>
      </c>
      <c r="C5" s="8">
        <v>0</v>
      </c>
      <c r="D5" s="12">
        <f t="shared" si="0"/>
        <v>0</v>
      </c>
      <c r="E5" s="9">
        <v>0</v>
      </c>
      <c r="F5" s="12">
        <f t="shared" si="1"/>
        <v>0</v>
      </c>
      <c r="G5" s="12">
        <f t="shared" si="2"/>
        <v>0</v>
      </c>
      <c r="H5" s="13">
        <f t="shared" si="3"/>
        <v>0</v>
      </c>
      <c r="I5" s="9"/>
      <c r="J5" s="13">
        <f t="shared" si="4"/>
        <v>0</v>
      </c>
      <c r="K5" s="8"/>
      <c r="L5" s="12">
        <f t="shared" si="5"/>
        <v>0</v>
      </c>
    </row>
    <row r="6" spans="1:12" ht="14.1" customHeight="1">
      <c r="A6" s="1">
        <f t="shared" si="6"/>
        <v>4</v>
      </c>
      <c r="B6" s="28" t="s">
        <v>16</v>
      </c>
      <c r="C6" s="8">
        <v>0</v>
      </c>
      <c r="D6" s="12">
        <f t="shared" si="0"/>
        <v>0</v>
      </c>
      <c r="E6" s="9">
        <v>0</v>
      </c>
      <c r="F6" s="12">
        <f t="shared" si="1"/>
        <v>0</v>
      </c>
      <c r="G6" s="12">
        <f t="shared" si="2"/>
        <v>0</v>
      </c>
      <c r="H6" s="13">
        <f t="shared" si="3"/>
        <v>0</v>
      </c>
      <c r="I6" s="9"/>
      <c r="J6" s="13">
        <f t="shared" si="4"/>
        <v>0</v>
      </c>
      <c r="K6" s="8"/>
      <c r="L6" s="12">
        <f t="shared" si="5"/>
        <v>0</v>
      </c>
    </row>
    <row r="7" spans="1:12" ht="14.1" customHeight="1">
      <c r="A7" s="1">
        <f t="shared" si="6"/>
        <v>5</v>
      </c>
      <c r="B7" s="29" t="s">
        <v>19</v>
      </c>
      <c r="C7" s="8">
        <v>4139.1099999999997</v>
      </c>
      <c r="D7" s="12">
        <f t="shared" si="0"/>
        <v>4139.1099999999997</v>
      </c>
      <c r="E7" s="9">
        <v>3680.79</v>
      </c>
      <c r="F7" s="12">
        <f t="shared" si="1"/>
        <v>3680.79</v>
      </c>
      <c r="G7" s="12">
        <f t="shared" si="2"/>
        <v>-458.31999999999971</v>
      </c>
      <c r="H7" s="13">
        <f t="shared" si="3"/>
        <v>-458.31999999999971</v>
      </c>
      <c r="I7" s="9"/>
      <c r="J7" s="13">
        <f t="shared" si="4"/>
        <v>0</v>
      </c>
      <c r="K7" s="8"/>
      <c r="L7" s="12">
        <f t="shared" si="5"/>
        <v>0</v>
      </c>
    </row>
    <row r="8" spans="1:12" ht="14.1" customHeight="1">
      <c r="A8" s="1">
        <f t="shared" si="6"/>
        <v>6</v>
      </c>
      <c r="B8" s="28" t="s">
        <v>20</v>
      </c>
      <c r="C8" s="8">
        <v>35044.400000000001</v>
      </c>
      <c r="D8" s="12">
        <f t="shared" si="0"/>
        <v>35044.400000000001</v>
      </c>
      <c r="E8" s="9">
        <v>31372.19</v>
      </c>
      <c r="F8" s="12">
        <f t="shared" si="1"/>
        <v>31372.19</v>
      </c>
      <c r="G8" s="12">
        <f t="shared" si="2"/>
        <v>-3672.2100000000028</v>
      </c>
      <c r="H8" s="13">
        <f t="shared" si="3"/>
        <v>-3672.2100000000028</v>
      </c>
      <c r="I8" s="9"/>
      <c r="J8" s="13">
        <f t="shared" si="4"/>
        <v>0</v>
      </c>
      <c r="K8" s="8"/>
      <c r="L8" s="12">
        <f t="shared" si="5"/>
        <v>0</v>
      </c>
    </row>
    <row r="9" spans="1:12" ht="14.1" customHeight="1">
      <c r="A9" s="1">
        <f t="shared" si="6"/>
        <v>7</v>
      </c>
      <c r="B9" s="28" t="s">
        <v>21</v>
      </c>
      <c r="C9" s="8">
        <v>14309.99</v>
      </c>
      <c r="D9" s="12">
        <f t="shared" si="0"/>
        <v>14309.99</v>
      </c>
      <c r="E9" s="9">
        <v>13083.49</v>
      </c>
      <c r="F9" s="12">
        <f t="shared" si="1"/>
        <v>13083.49</v>
      </c>
      <c r="G9" s="12">
        <f t="shared" si="2"/>
        <v>-1226.5</v>
      </c>
      <c r="H9" s="13">
        <f t="shared" si="3"/>
        <v>-1226.5</v>
      </c>
      <c r="I9" s="9"/>
      <c r="J9" s="13">
        <f t="shared" si="4"/>
        <v>0</v>
      </c>
      <c r="K9" s="8"/>
      <c r="L9" s="12">
        <f t="shared" si="5"/>
        <v>0</v>
      </c>
    </row>
    <row r="10" spans="1:12" ht="14.1" customHeight="1">
      <c r="A10" s="1">
        <f t="shared" si="6"/>
        <v>8</v>
      </c>
      <c r="B10" s="28" t="s">
        <v>22</v>
      </c>
      <c r="C10" s="8">
        <v>0</v>
      </c>
      <c r="D10" s="12">
        <f t="shared" si="0"/>
        <v>0</v>
      </c>
      <c r="E10" s="9">
        <v>0</v>
      </c>
      <c r="F10" s="12">
        <f t="shared" si="1"/>
        <v>0</v>
      </c>
      <c r="G10" s="12">
        <f t="shared" si="2"/>
        <v>0</v>
      </c>
      <c r="H10" s="13">
        <f t="shared" si="3"/>
        <v>0</v>
      </c>
      <c r="I10" s="9"/>
      <c r="J10" s="13">
        <f t="shared" si="4"/>
        <v>0</v>
      </c>
      <c r="K10" s="8"/>
      <c r="L10" s="12">
        <f t="shared" si="5"/>
        <v>0</v>
      </c>
    </row>
    <row r="11" spans="1:12" ht="14.1" customHeight="1">
      <c r="A11" s="1">
        <f t="shared" si="6"/>
        <v>9</v>
      </c>
      <c r="B11" s="28" t="s">
        <v>23</v>
      </c>
      <c r="C11" s="8">
        <v>0</v>
      </c>
      <c r="D11" s="12">
        <f t="shared" si="0"/>
        <v>0</v>
      </c>
      <c r="E11" s="9">
        <v>0</v>
      </c>
      <c r="F11" s="12">
        <f t="shared" si="1"/>
        <v>0</v>
      </c>
      <c r="G11" s="12">
        <f t="shared" si="2"/>
        <v>0</v>
      </c>
      <c r="H11" s="13">
        <f t="shared" si="3"/>
        <v>0</v>
      </c>
      <c r="I11" s="9"/>
      <c r="J11" s="13">
        <f t="shared" si="4"/>
        <v>0</v>
      </c>
      <c r="K11" s="8"/>
      <c r="L11" s="12">
        <f t="shared" si="5"/>
        <v>0</v>
      </c>
    </row>
    <row r="12" spans="1:12" ht="14.1" customHeight="1">
      <c r="A12" s="1">
        <f t="shared" si="6"/>
        <v>10</v>
      </c>
      <c r="B12" s="28" t="s">
        <v>24</v>
      </c>
      <c r="C12" s="8">
        <v>15902.97</v>
      </c>
      <c r="D12" s="12">
        <f t="shared" si="0"/>
        <v>15902.97</v>
      </c>
      <c r="E12" s="9">
        <v>14142.01</v>
      </c>
      <c r="F12" s="12">
        <f t="shared" si="1"/>
        <v>14142.01</v>
      </c>
      <c r="G12" s="12">
        <f t="shared" si="2"/>
        <v>-1760.9599999999991</v>
      </c>
      <c r="H12" s="13">
        <f t="shared" si="3"/>
        <v>-1760.9599999999991</v>
      </c>
      <c r="I12" s="9"/>
      <c r="J12" s="13">
        <f t="shared" si="4"/>
        <v>0</v>
      </c>
      <c r="K12" s="8"/>
      <c r="L12" s="12">
        <f t="shared" si="5"/>
        <v>0</v>
      </c>
    </row>
    <row r="13" spans="1:12" ht="14.1" customHeight="1">
      <c r="A13" s="1">
        <f t="shared" si="6"/>
        <v>11</v>
      </c>
      <c r="B13" s="28" t="s">
        <v>25</v>
      </c>
      <c r="C13" s="8">
        <v>1770.1</v>
      </c>
      <c r="D13" s="12">
        <f t="shared" si="0"/>
        <v>1770.1</v>
      </c>
      <c r="E13" s="9">
        <v>1574.09</v>
      </c>
      <c r="F13" s="12">
        <f t="shared" si="1"/>
        <v>1574.09</v>
      </c>
      <c r="G13" s="12">
        <f t="shared" si="2"/>
        <v>-196.01</v>
      </c>
      <c r="H13" s="13">
        <f t="shared" si="3"/>
        <v>-196.01</v>
      </c>
      <c r="I13" s="9"/>
      <c r="J13" s="13">
        <f t="shared" si="4"/>
        <v>0</v>
      </c>
      <c r="K13" s="8"/>
      <c r="L13" s="12">
        <f t="shared" si="5"/>
        <v>0</v>
      </c>
    </row>
    <row r="14" spans="1:12" ht="14.1" customHeight="1">
      <c r="A14" s="1">
        <f t="shared" si="6"/>
        <v>12</v>
      </c>
      <c r="B14" s="28" t="s">
        <v>26</v>
      </c>
      <c r="C14" s="8">
        <v>6235.88</v>
      </c>
      <c r="D14" s="12">
        <f t="shared" si="0"/>
        <v>6235.88</v>
      </c>
      <c r="E14" s="9">
        <v>5545.35</v>
      </c>
      <c r="F14" s="12">
        <f t="shared" si="1"/>
        <v>5545.35</v>
      </c>
      <c r="G14" s="12">
        <f t="shared" si="2"/>
        <v>-690.52999999999975</v>
      </c>
      <c r="H14" s="13">
        <f t="shared" si="3"/>
        <v>-690.52999999999975</v>
      </c>
      <c r="I14" s="9"/>
      <c r="J14" s="13">
        <f t="shared" si="4"/>
        <v>0</v>
      </c>
      <c r="K14" s="8"/>
      <c r="L14" s="12">
        <f t="shared" si="5"/>
        <v>0</v>
      </c>
    </row>
    <row r="15" spans="1:12" ht="14.1" customHeight="1">
      <c r="A15" s="1">
        <f t="shared" si="6"/>
        <v>13</v>
      </c>
      <c r="B15" s="28" t="s">
        <v>27</v>
      </c>
      <c r="C15" s="8">
        <v>14309.99</v>
      </c>
      <c r="D15" s="12">
        <f t="shared" si="0"/>
        <v>14309.99</v>
      </c>
      <c r="E15" s="9">
        <v>13083.49</v>
      </c>
      <c r="F15" s="12">
        <f t="shared" si="1"/>
        <v>13083.49</v>
      </c>
      <c r="G15" s="12">
        <f t="shared" si="2"/>
        <v>-1226.5</v>
      </c>
      <c r="H15" s="13">
        <f t="shared" si="3"/>
        <v>-1226.5</v>
      </c>
      <c r="I15" s="9"/>
      <c r="J15" s="13">
        <f t="shared" si="4"/>
        <v>0</v>
      </c>
      <c r="K15" s="8"/>
      <c r="L15" s="12">
        <f t="shared" si="5"/>
        <v>0</v>
      </c>
    </row>
    <row r="16" spans="1:12" ht="14.1" customHeight="1">
      <c r="A16" s="1">
        <f t="shared" si="6"/>
        <v>14</v>
      </c>
      <c r="B16" s="28" t="s">
        <v>28</v>
      </c>
      <c r="C16" s="8">
        <v>163.34</v>
      </c>
      <c r="D16" s="12">
        <f t="shared" si="0"/>
        <v>163.34</v>
      </c>
      <c r="E16" s="9">
        <v>145.25</v>
      </c>
      <c r="F16" s="12">
        <f t="shared" si="1"/>
        <v>145.25</v>
      </c>
      <c r="G16" s="12">
        <f t="shared" si="2"/>
        <v>-18.090000000000003</v>
      </c>
      <c r="H16" s="13">
        <f t="shared" si="3"/>
        <v>-18.090000000000003</v>
      </c>
      <c r="I16" s="9"/>
      <c r="J16" s="13">
        <f t="shared" si="4"/>
        <v>0</v>
      </c>
      <c r="K16" s="8"/>
      <c r="L16" s="12">
        <f t="shared" si="5"/>
        <v>0</v>
      </c>
    </row>
    <row r="17" spans="1:12" ht="14.1" customHeight="1">
      <c r="A17" s="1">
        <f t="shared" si="6"/>
        <v>15</v>
      </c>
      <c r="B17" s="28" t="s">
        <v>29</v>
      </c>
      <c r="C17" s="8">
        <v>170.5</v>
      </c>
      <c r="D17" s="12">
        <f t="shared" si="0"/>
        <v>170.5</v>
      </c>
      <c r="E17" s="9">
        <v>151.13</v>
      </c>
      <c r="F17" s="12">
        <f t="shared" si="1"/>
        <v>151.13</v>
      </c>
      <c r="G17" s="12">
        <f t="shared" si="2"/>
        <v>-19.370000000000005</v>
      </c>
      <c r="H17" s="13">
        <f t="shared" si="3"/>
        <v>-19.370000000000005</v>
      </c>
      <c r="I17" s="9"/>
      <c r="J17" s="13">
        <f t="shared" si="4"/>
        <v>0</v>
      </c>
      <c r="K17" s="8"/>
      <c r="L17" s="12">
        <f t="shared" si="5"/>
        <v>0</v>
      </c>
    </row>
    <row r="18" spans="1:12" ht="14.1" customHeight="1">
      <c r="A18" s="1">
        <f t="shared" si="6"/>
        <v>16</v>
      </c>
      <c r="B18" s="28" t="s">
        <v>30</v>
      </c>
      <c r="C18" s="8">
        <v>0</v>
      </c>
      <c r="D18" s="12">
        <f t="shared" si="0"/>
        <v>0</v>
      </c>
      <c r="E18" s="9">
        <v>0</v>
      </c>
      <c r="F18" s="12">
        <f t="shared" si="1"/>
        <v>0</v>
      </c>
      <c r="G18" s="12">
        <f t="shared" si="2"/>
        <v>0</v>
      </c>
      <c r="H18" s="13">
        <f t="shared" si="3"/>
        <v>0</v>
      </c>
      <c r="I18" s="9"/>
      <c r="J18" s="13">
        <f t="shared" si="4"/>
        <v>0</v>
      </c>
      <c r="K18" s="8"/>
      <c r="L18" s="12">
        <f t="shared" si="5"/>
        <v>0</v>
      </c>
    </row>
    <row r="19" spans="1:12" ht="14.1" customHeight="1">
      <c r="A19" s="1">
        <f t="shared" si="6"/>
        <v>17</v>
      </c>
      <c r="B19" s="28" t="s">
        <v>31</v>
      </c>
      <c r="C19" s="8">
        <v>0</v>
      </c>
      <c r="D19" s="12">
        <f t="shared" si="0"/>
        <v>0</v>
      </c>
      <c r="E19" s="9">
        <v>0</v>
      </c>
      <c r="F19" s="12">
        <f t="shared" si="1"/>
        <v>0</v>
      </c>
      <c r="G19" s="12">
        <f t="shared" si="2"/>
        <v>0</v>
      </c>
      <c r="H19" s="13">
        <f t="shared" si="3"/>
        <v>0</v>
      </c>
      <c r="I19" s="9"/>
      <c r="J19" s="13">
        <f t="shared" si="4"/>
        <v>0</v>
      </c>
      <c r="K19" s="8"/>
      <c r="L19" s="12">
        <f t="shared" si="5"/>
        <v>0</v>
      </c>
    </row>
    <row r="20" spans="1:12" ht="14.1" customHeight="1">
      <c r="A20" s="1">
        <f t="shared" si="6"/>
        <v>18</v>
      </c>
      <c r="B20" s="28" t="s">
        <v>32</v>
      </c>
      <c r="C20" s="8">
        <v>690.76</v>
      </c>
      <c r="D20" s="12">
        <f t="shared" si="0"/>
        <v>690.76</v>
      </c>
      <c r="E20" s="9">
        <v>56377.39</v>
      </c>
      <c r="F20" s="12">
        <f t="shared" si="1"/>
        <v>56377.39</v>
      </c>
      <c r="G20" s="12">
        <f t="shared" si="2"/>
        <v>55686.63</v>
      </c>
      <c r="H20" s="13">
        <f t="shared" si="3"/>
        <v>55686.63</v>
      </c>
      <c r="I20" s="9"/>
      <c r="J20" s="13">
        <f t="shared" si="4"/>
        <v>0</v>
      </c>
      <c r="K20" s="8"/>
      <c r="L20" s="12">
        <f t="shared" si="5"/>
        <v>0</v>
      </c>
    </row>
    <row r="21" spans="1:12" ht="14.1" customHeight="1">
      <c r="A21" s="1">
        <f t="shared" si="6"/>
        <v>19</v>
      </c>
      <c r="B21" s="28" t="s">
        <v>33</v>
      </c>
      <c r="C21" s="8">
        <v>0</v>
      </c>
      <c r="D21" s="12">
        <f t="shared" si="0"/>
        <v>0</v>
      </c>
      <c r="E21" s="9">
        <v>0</v>
      </c>
      <c r="F21" s="12">
        <f t="shared" si="1"/>
        <v>0</v>
      </c>
      <c r="G21" s="12">
        <f t="shared" si="2"/>
        <v>0</v>
      </c>
      <c r="H21" s="13">
        <f t="shared" si="3"/>
        <v>0</v>
      </c>
      <c r="I21" s="9"/>
      <c r="J21" s="13">
        <f t="shared" si="4"/>
        <v>0</v>
      </c>
      <c r="K21" s="8"/>
      <c r="L21" s="12">
        <f t="shared" si="5"/>
        <v>0</v>
      </c>
    </row>
    <row r="22" spans="1:12" ht="14.1" customHeight="1">
      <c r="A22" s="1">
        <f t="shared" si="6"/>
        <v>20</v>
      </c>
      <c r="B22" s="28"/>
      <c r="C22" s="8"/>
      <c r="D22" s="12">
        <f t="shared" si="0"/>
        <v>0</v>
      </c>
      <c r="E22" s="9"/>
      <c r="F22" s="12">
        <f t="shared" si="1"/>
        <v>0</v>
      </c>
      <c r="G22" s="12">
        <f t="shared" si="2"/>
        <v>0</v>
      </c>
      <c r="H22" s="13">
        <f t="shared" si="3"/>
        <v>0</v>
      </c>
      <c r="I22" s="9"/>
      <c r="J22" s="13">
        <f>I22</f>
        <v>0</v>
      </c>
      <c r="K22" s="8"/>
      <c r="L22" s="12">
        <f t="shared" si="5"/>
        <v>0</v>
      </c>
    </row>
    <row r="23" spans="1:12" ht="14.1" customHeight="1">
      <c r="A23" s="1"/>
      <c r="B23" s="17" t="s">
        <v>12</v>
      </c>
      <c r="C23" s="12">
        <f t="shared" ref="C23:L23" si="7">SUM(C3:C22)</f>
        <v>229352.31999999998</v>
      </c>
      <c r="D23" s="12">
        <f t="shared" si="7"/>
        <v>229352.31999999998</v>
      </c>
      <c r="E23" s="13">
        <f t="shared" si="7"/>
        <v>258049.82</v>
      </c>
      <c r="F23" s="12">
        <f t="shared" si="7"/>
        <v>258049.82</v>
      </c>
      <c r="G23" s="12">
        <f t="shared" si="7"/>
        <v>28697.499999999996</v>
      </c>
      <c r="H23" s="13">
        <f t="shared" si="7"/>
        <v>28697.499999999996</v>
      </c>
      <c r="I23" s="13">
        <f t="shared" si="7"/>
        <v>0</v>
      </c>
      <c r="J23" s="13">
        <f t="shared" si="7"/>
        <v>0</v>
      </c>
      <c r="K23" s="12">
        <f t="shared" si="7"/>
        <v>0</v>
      </c>
      <c r="L23" s="12">
        <f t="shared" si="7"/>
        <v>0</v>
      </c>
    </row>
    <row r="24" spans="1:12" ht="14.1" customHeight="1"/>
    <row r="25" spans="1:12" ht="14.1" customHeight="1"/>
    <row r="26" spans="1:12" ht="14.1" customHeight="1"/>
    <row r="27" spans="1:12" ht="14.1" customHeight="1"/>
    <row r="28" spans="1:12" ht="14.1" customHeight="1">
      <c r="B28" s="50" t="s">
        <v>35</v>
      </c>
      <c r="C28" s="54">
        <f>C9+C10+C11+C15+C17+C18+C22</f>
        <v>28790.48</v>
      </c>
      <c r="D28" s="54">
        <f t="shared" ref="D28:J28" si="8">D9+D10+D11+D15+D17+D18+D22</f>
        <v>28790.48</v>
      </c>
      <c r="E28" s="54">
        <f t="shared" si="8"/>
        <v>26318.11</v>
      </c>
      <c r="F28" s="54">
        <f t="shared" si="8"/>
        <v>26318.11</v>
      </c>
      <c r="G28" s="54">
        <f t="shared" si="8"/>
        <v>-2472.37</v>
      </c>
      <c r="H28" s="54">
        <f t="shared" si="8"/>
        <v>-2472.37</v>
      </c>
      <c r="I28" s="54">
        <f t="shared" si="8"/>
        <v>0</v>
      </c>
      <c r="J28" s="54">
        <f t="shared" si="8"/>
        <v>0</v>
      </c>
    </row>
    <row r="29" spans="1:12" ht="14.1" customHeight="1">
      <c r="B29" s="50" t="s">
        <v>36</v>
      </c>
      <c r="C29" s="54">
        <f>C8+C20</f>
        <v>35735.160000000003</v>
      </c>
      <c r="D29" s="54">
        <f t="shared" ref="D29:J29" si="9">D8+D20</f>
        <v>35735.160000000003</v>
      </c>
      <c r="E29" s="54">
        <f t="shared" si="9"/>
        <v>87749.58</v>
      </c>
      <c r="F29" s="54">
        <f t="shared" si="9"/>
        <v>87749.58</v>
      </c>
      <c r="G29" s="54">
        <f t="shared" si="9"/>
        <v>52014.42</v>
      </c>
      <c r="H29" s="54">
        <f t="shared" si="9"/>
        <v>52014.42</v>
      </c>
      <c r="I29" s="54">
        <f t="shared" si="9"/>
        <v>0</v>
      </c>
      <c r="J29" s="54">
        <f t="shared" si="9"/>
        <v>0</v>
      </c>
    </row>
    <row r="30" spans="1:12" ht="14.1" customHeight="1">
      <c r="B30" s="50" t="s">
        <v>37</v>
      </c>
      <c r="C30" s="54">
        <f>C4+C5+C21+C19</f>
        <v>106443.25</v>
      </c>
      <c r="D30" s="54">
        <f t="shared" ref="D30:J30" si="10">D4+D5+D21+D19</f>
        <v>106443.25</v>
      </c>
      <c r="E30" s="54">
        <f t="shared" si="10"/>
        <v>92430.26</v>
      </c>
      <c r="F30" s="54">
        <f t="shared" si="10"/>
        <v>92430.26</v>
      </c>
      <c r="G30" s="54">
        <f t="shared" si="10"/>
        <v>-14012.990000000005</v>
      </c>
      <c r="H30" s="54">
        <f t="shared" si="10"/>
        <v>-14012.990000000005</v>
      </c>
      <c r="I30" s="54">
        <f t="shared" si="10"/>
        <v>0</v>
      </c>
      <c r="J30" s="54">
        <f t="shared" si="10"/>
        <v>0</v>
      </c>
    </row>
  </sheetData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C5" sqref="C5:C6"/>
    </sheetView>
  </sheetViews>
  <sheetFormatPr defaultRowHeight="12.75"/>
  <cols>
    <col min="1" max="1" width="4.140625" customWidth="1"/>
    <col min="2" max="2" width="31.42578125" customWidth="1"/>
    <col min="3" max="3" width="12.140625" customWidth="1"/>
    <col min="4" max="4" width="13.5703125" customWidth="1"/>
    <col min="5" max="5" width="11.5703125" customWidth="1"/>
    <col min="6" max="6" width="11" customWidth="1"/>
    <col min="7" max="7" width="10.5703125" customWidth="1"/>
    <col min="8" max="8" width="11.28515625" customWidth="1"/>
    <col min="9" max="9" width="10.140625" bestFit="1" customWidth="1"/>
    <col min="10" max="10" width="12.42578125" customWidth="1"/>
    <col min="11" max="11" width="9.28515625" bestFit="1" customWidth="1"/>
    <col min="12" max="12" width="11.28515625" customWidth="1"/>
  </cols>
  <sheetData>
    <row r="1" spans="1:12">
      <c r="B1" s="11" t="s">
        <v>38</v>
      </c>
    </row>
    <row r="2" spans="1:12" s="37" customFormat="1" ht="38.25" customHeight="1">
      <c r="A2" s="31" t="s">
        <v>0</v>
      </c>
      <c r="B2" s="32" t="s">
        <v>1</v>
      </c>
      <c r="C2" s="33" t="s">
        <v>2</v>
      </c>
      <c r="D2" s="34" t="s">
        <v>3</v>
      </c>
      <c r="E2" s="35" t="s">
        <v>4</v>
      </c>
      <c r="F2" s="34" t="s">
        <v>5</v>
      </c>
      <c r="G2" s="34" t="s">
        <v>6</v>
      </c>
      <c r="H2" s="36" t="s">
        <v>7</v>
      </c>
      <c r="I2" s="35" t="s">
        <v>8</v>
      </c>
      <c r="J2" s="36" t="s">
        <v>9</v>
      </c>
      <c r="K2" s="32" t="s">
        <v>10</v>
      </c>
      <c r="L2" s="34" t="s">
        <v>11</v>
      </c>
    </row>
    <row r="3" spans="1:12" ht="12.95" customHeight="1">
      <c r="A3" s="1">
        <v>1</v>
      </c>
      <c r="B3" s="28" t="str">
        <f>сентябрь!B3</f>
        <v>Содержание общ.имущ.дома</v>
      </c>
      <c r="C3" s="8">
        <f>27554.01+4850.92</f>
        <v>32404.93</v>
      </c>
      <c r="D3" s="12">
        <f>C3+сентябрь!D3</f>
        <v>280479.87</v>
      </c>
      <c r="E3" s="8">
        <f>25908.87+3674.88</f>
        <v>29583.75</v>
      </c>
      <c r="F3" s="12">
        <f>E3+сентябрь!F3</f>
        <v>299590.10000000003</v>
      </c>
      <c r="G3" s="12">
        <f>E3-C3</f>
        <v>-2821.1800000000003</v>
      </c>
      <c r="H3" s="13">
        <f>F3-D3</f>
        <v>19110.23000000004</v>
      </c>
      <c r="I3" s="9"/>
      <c r="J3" s="13">
        <f>I3+сентябрь!J3</f>
        <v>0</v>
      </c>
      <c r="K3" s="8"/>
      <c r="L3" s="12">
        <f>K3+сентябрь!L3</f>
        <v>0</v>
      </c>
    </row>
    <row r="4" spans="1:12" ht="12.95" customHeight="1">
      <c r="A4" s="1">
        <f>A3+1</f>
        <v>2</v>
      </c>
      <c r="B4" s="28" t="str">
        <f>сентябрь!B4</f>
        <v>Отопление</v>
      </c>
      <c r="C4" s="8">
        <f>93676.95+16491.95</f>
        <v>110168.9</v>
      </c>
      <c r="D4" s="12">
        <f>C4+сентябрь!D4</f>
        <v>535941.9</v>
      </c>
      <c r="E4" s="8">
        <f>48429.36+9319.2</f>
        <v>57748.56</v>
      </c>
      <c r="F4" s="12">
        <f>E4+сентябрь!F4</f>
        <v>621537.60000000009</v>
      </c>
      <c r="G4" s="12">
        <f t="shared" ref="G4:H22" si="0">E4-C4</f>
        <v>-52420.34</v>
      </c>
      <c r="H4" s="13">
        <f t="shared" si="0"/>
        <v>85595.70000000007</v>
      </c>
      <c r="I4" s="9"/>
      <c r="J4" s="13">
        <f>I4+сентябрь!J4</f>
        <v>0</v>
      </c>
      <c r="K4" s="8"/>
      <c r="L4" s="12">
        <f>K4+сентябрь!L4</f>
        <v>0</v>
      </c>
    </row>
    <row r="5" spans="1:12" ht="12.95" customHeight="1">
      <c r="A5" s="1">
        <f t="shared" ref="A5:A22" si="1">A4+1</f>
        <v>3</v>
      </c>
      <c r="B5" s="28" t="str">
        <f>сентябрь!B5</f>
        <v>Горячее водоснабжение</v>
      </c>
      <c r="C5" s="8">
        <f>0+0</f>
        <v>0</v>
      </c>
      <c r="D5" s="12">
        <f>C5+сентябрь!D5</f>
        <v>0</v>
      </c>
      <c r="E5" s="8">
        <f>0+0</f>
        <v>0</v>
      </c>
      <c r="F5" s="12">
        <f>E5+сентябрь!F5</f>
        <v>0</v>
      </c>
      <c r="G5" s="12">
        <f t="shared" si="0"/>
        <v>0</v>
      </c>
      <c r="H5" s="13">
        <f t="shared" si="0"/>
        <v>0</v>
      </c>
      <c r="I5" s="9"/>
      <c r="J5" s="13">
        <f>I5+сентябрь!J5</f>
        <v>0</v>
      </c>
      <c r="K5" s="8"/>
      <c r="L5" s="12">
        <f>K5+сентябрь!L5</f>
        <v>0</v>
      </c>
    </row>
    <row r="6" spans="1:12" ht="12.95" customHeight="1">
      <c r="A6" s="1">
        <f t="shared" si="1"/>
        <v>4</v>
      </c>
      <c r="B6" s="28" t="str">
        <f>сентябрь!B6</f>
        <v>Газ</v>
      </c>
      <c r="C6" s="8">
        <f>0+0</f>
        <v>0</v>
      </c>
      <c r="D6" s="12">
        <f>C6+сентябрь!D6</f>
        <v>0</v>
      </c>
      <c r="E6" s="8">
        <f>0+0</f>
        <v>0</v>
      </c>
      <c r="F6" s="12">
        <f>E6+сентябрь!F6</f>
        <v>0</v>
      </c>
      <c r="G6" s="12">
        <f t="shared" si="0"/>
        <v>0</v>
      </c>
      <c r="H6" s="13">
        <f t="shared" si="0"/>
        <v>0</v>
      </c>
      <c r="I6" s="9"/>
      <c r="J6" s="13">
        <f>I6+сентябрь!J6</f>
        <v>0</v>
      </c>
      <c r="K6" s="8"/>
      <c r="L6" s="12">
        <f>K6+сентябрь!L6</f>
        <v>0</v>
      </c>
    </row>
    <row r="7" spans="1:12" ht="12.95" customHeight="1">
      <c r="A7" s="1">
        <f t="shared" si="1"/>
        <v>5</v>
      </c>
      <c r="B7" s="28" t="str">
        <f>сентябрь!B7</f>
        <v>Уборка и сан.очистка зем.уч.</v>
      </c>
      <c r="C7" s="8">
        <f>4237.36+745.98</f>
        <v>4983.34</v>
      </c>
      <c r="D7" s="12">
        <f>C7+сентябрь!D7</f>
        <v>40628.910000000003</v>
      </c>
      <c r="E7" s="8">
        <f>3972.07+564.75</f>
        <v>4536.82</v>
      </c>
      <c r="F7" s="12">
        <f>E7+сентябрь!F7</f>
        <v>43028.57</v>
      </c>
      <c r="G7" s="12">
        <f t="shared" si="0"/>
        <v>-446.52000000000044</v>
      </c>
      <c r="H7" s="13">
        <f t="shared" si="0"/>
        <v>2399.6599999999962</v>
      </c>
      <c r="I7" s="9"/>
      <c r="J7" s="13">
        <f>I7+сентябрь!J7</f>
        <v>0</v>
      </c>
      <c r="K7" s="8"/>
      <c r="L7" s="12">
        <f>K7+сентябрь!L7</f>
        <v>0</v>
      </c>
    </row>
    <row r="8" spans="1:12" ht="12.95" customHeight="1">
      <c r="A8" s="1">
        <f t="shared" si="1"/>
        <v>6</v>
      </c>
      <c r="B8" s="28" t="str">
        <f>сентябрь!B8</f>
        <v>Электроснабжение (инд.потр)</v>
      </c>
      <c r="C8" s="8">
        <f>30254.8+6337</f>
        <v>36591.800000000003</v>
      </c>
      <c r="D8" s="12">
        <f>C8+сентябрь!D8</f>
        <v>320831.77999999997</v>
      </c>
      <c r="E8" s="8">
        <f>26235.21+5614.61</f>
        <v>31849.82</v>
      </c>
      <c r="F8" s="12">
        <f>E8+сентябрь!F8</f>
        <v>347213.64999999997</v>
      </c>
      <c r="G8" s="12">
        <f t="shared" si="0"/>
        <v>-4741.9800000000032</v>
      </c>
      <c r="H8" s="13">
        <f t="shared" si="0"/>
        <v>26381.869999999995</v>
      </c>
      <c r="I8" s="9"/>
      <c r="J8" s="13">
        <f>I8+сентябрь!J8</f>
        <v>0</v>
      </c>
      <c r="K8" s="8"/>
      <c r="L8" s="12">
        <f>K8+сентябрь!L8</f>
        <v>0</v>
      </c>
    </row>
    <row r="9" spans="1:12" ht="12.95" customHeight="1">
      <c r="A9" s="1">
        <f t="shared" si="1"/>
        <v>7</v>
      </c>
      <c r="B9" s="28" t="str">
        <f>сентябрь!B9</f>
        <v>Хол.вода</v>
      </c>
      <c r="C9" s="8">
        <f>30829.71+7018.85</f>
        <v>37848.559999999998</v>
      </c>
      <c r="D9" s="12">
        <f>C9+сентябрь!D9</f>
        <v>160020.57</v>
      </c>
      <c r="E9" s="8">
        <f>11382.48+2826.34</f>
        <v>14208.82</v>
      </c>
      <c r="F9" s="12">
        <f>E9+сентябрь!F9</f>
        <v>147981.6</v>
      </c>
      <c r="G9" s="12">
        <f t="shared" si="0"/>
        <v>-23639.739999999998</v>
      </c>
      <c r="H9" s="13">
        <f t="shared" si="0"/>
        <v>-12038.970000000001</v>
      </c>
      <c r="I9" s="9"/>
      <c r="J9" s="13">
        <f>I9+сентябрь!J9</f>
        <v>0</v>
      </c>
      <c r="K9" s="8"/>
      <c r="L9" s="12">
        <f>K9+сентябрь!L9</f>
        <v>0</v>
      </c>
    </row>
    <row r="10" spans="1:12" ht="12.95" customHeight="1">
      <c r="A10" s="1">
        <f t="shared" si="1"/>
        <v>8</v>
      </c>
      <c r="B10" s="28" t="str">
        <f>сентябрь!B10</f>
        <v>Канализир.х.воды</v>
      </c>
      <c r="C10" s="8">
        <f>0+0</f>
        <v>0</v>
      </c>
      <c r="D10" s="12">
        <f>C10+сентябрь!D10</f>
        <v>0</v>
      </c>
      <c r="E10" s="8">
        <f>0+0</f>
        <v>0</v>
      </c>
      <c r="F10" s="12">
        <f>E10+сентябрь!F10</f>
        <v>0</v>
      </c>
      <c r="G10" s="12">
        <f t="shared" si="0"/>
        <v>0</v>
      </c>
      <c r="H10" s="13">
        <f t="shared" si="0"/>
        <v>0</v>
      </c>
      <c r="I10" s="9"/>
      <c r="J10" s="13">
        <f>I10+сентябрь!J10</f>
        <v>0</v>
      </c>
      <c r="K10" s="8"/>
      <c r="L10" s="12">
        <f>K10+сентябрь!L10</f>
        <v>0</v>
      </c>
    </row>
    <row r="11" spans="1:12" ht="12.95" customHeight="1">
      <c r="A11" s="1">
        <f t="shared" si="1"/>
        <v>9</v>
      </c>
      <c r="B11" s="28" t="str">
        <f>сентябрь!B11</f>
        <v>Канализир.г.воды</v>
      </c>
      <c r="C11" s="8">
        <f>0+0</f>
        <v>0</v>
      </c>
      <c r="D11" s="12">
        <f>C11+сентябрь!D11</f>
        <v>0</v>
      </c>
      <c r="E11" s="8">
        <f>0+0</f>
        <v>0</v>
      </c>
      <c r="F11" s="12">
        <f>E11+сентябрь!F11</f>
        <v>0</v>
      </c>
      <c r="G11" s="12">
        <f t="shared" si="0"/>
        <v>0</v>
      </c>
      <c r="H11" s="13">
        <f t="shared" si="0"/>
        <v>0</v>
      </c>
      <c r="I11" s="9"/>
      <c r="J11" s="13">
        <f>I11+сентябрь!J11</f>
        <v>0</v>
      </c>
      <c r="K11" s="8"/>
      <c r="L11" s="12">
        <f>K11+сентябрь!L11</f>
        <v>0</v>
      </c>
    </row>
    <row r="12" spans="1:12" ht="12.95" customHeight="1">
      <c r="A12" s="1">
        <f t="shared" si="1"/>
        <v>10</v>
      </c>
      <c r="B12" s="28" t="str">
        <f>сентябрь!B12</f>
        <v>Тек.рем.общ.имущ.дома</v>
      </c>
      <c r="C12" s="8">
        <f>14378.98+2531.45</f>
        <v>16910.43</v>
      </c>
      <c r="D12" s="12">
        <f>C12+сентябрь!D12</f>
        <v>147156.56999999998</v>
      </c>
      <c r="E12" s="8">
        <f>13529.13+1917.84</f>
        <v>15446.97</v>
      </c>
      <c r="F12" s="12">
        <f>E12+сентябрь!F12</f>
        <v>157877.35</v>
      </c>
      <c r="G12" s="12">
        <f t="shared" si="0"/>
        <v>-1463.4600000000009</v>
      </c>
      <c r="H12" s="13">
        <f t="shared" si="0"/>
        <v>10720.780000000028</v>
      </c>
      <c r="I12" s="9"/>
      <c r="J12" s="13">
        <f>I12+сентябрь!J12</f>
        <v>0</v>
      </c>
      <c r="K12" s="8"/>
      <c r="L12" s="12">
        <f>K12+сентябрь!L12</f>
        <v>0</v>
      </c>
    </row>
    <row r="13" spans="1:12" ht="12.95" customHeight="1">
      <c r="A13" s="1">
        <f t="shared" si="1"/>
        <v>11</v>
      </c>
      <c r="B13" s="28" t="str">
        <f>сентябрь!B13</f>
        <v>Сод.и тек.рем.в/дом.газосн.</v>
      </c>
      <c r="C13" s="8">
        <f>1574.5+277.18</f>
        <v>1851.68</v>
      </c>
      <c r="D13" s="12">
        <f>C13+сентябрь!D13</f>
        <v>16257.220000000001</v>
      </c>
      <c r="E13" s="8">
        <f>1482.28+210.02</f>
        <v>1692.3</v>
      </c>
      <c r="F13" s="12">
        <f>E13+сентябрь!F13</f>
        <v>17468.25</v>
      </c>
      <c r="G13" s="12">
        <f t="shared" si="0"/>
        <v>-159.38000000000011</v>
      </c>
      <c r="H13" s="13">
        <f t="shared" si="0"/>
        <v>1211.0299999999988</v>
      </c>
      <c r="I13" s="9"/>
      <c r="J13" s="13">
        <f>I13+сентябрь!J13</f>
        <v>0</v>
      </c>
      <c r="K13" s="8"/>
      <c r="L13" s="12">
        <f>K13+сентябрь!L13</f>
        <v>0</v>
      </c>
    </row>
    <row r="14" spans="1:12" ht="12.95" customHeight="1">
      <c r="A14" s="1">
        <f t="shared" si="1"/>
        <v>12</v>
      </c>
      <c r="B14" s="28" t="str">
        <f>сентябрь!B14</f>
        <v>Управление многокв.дом.</v>
      </c>
      <c r="C14" s="8">
        <f>5950.73+1047.65</f>
        <v>6998.3799999999992</v>
      </c>
      <c r="D14" s="12">
        <f>C14+сентябрь!D14</f>
        <v>59172.919999999991</v>
      </c>
      <c r="E14" s="8">
        <f>5583.99+793.43</f>
        <v>6377.42</v>
      </c>
      <c r="F14" s="12">
        <f>E14+сентябрь!F14</f>
        <v>62529.22</v>
      </c>
      <c r="G14" s="12">
        <f t="shared" si="0"/>
        <v>-620.95999999999913</v>
      </c>
      <c r="H14" s="13">
        <f t="shared" si="0"/>
        <v>3356.3000000000102</v>
      </c>
      <c r="I14" s="9"/>
      <c r="J14" s="13">
        <f>I14+сентябрь!J14</f>
        <v>0</v>
      </c>
      <c r="K14" s="8"/>
      <c r="L14" s="12">
        <f>K14+сентябрь!L14</f>
        <v>0</v>
      </c>
    </row>
    <row r="15" spans="1:12" ht="12.95" customHeight="1">
      <c r="A15" s="1">
        <f t="shared" si="1"/>
        <v>13</v>
      </c>
      <c r="B15" s="28" t="str">
        <f>сентябрь!B15</f>
        <v>Водоотведение(кв)</v>
      </c>
      <c r="C15" s="8">
        <f>0+0</f>
        <v>0</v>
      </c>
      <c r="D15" s="12">
        <f>C15+сентябрь!D15</f>
        <v>122172.01000000001</v>
      </c>
      <c r="E15" s="8">
        <f>0+0</f>
        <v>0</v>
      </c>
      <c r="F15" s="12">
        <f>E15+сентябрь!F15</f>
        <v>133772.76999999999</v>
      </c>
      <c r="G15" s="12">
        <f t="shared" si="0"/>
        <v>0</v>
      </c>
      <c r="H15" s="13">
        <f t="shared" si="0"/>
        <v>11600.75999999998</v>
      </c>
      <c r="I15" s="9"/>
      <c r="J15" s="13">
        <f>I15+сентябрь!J15</f>
        <v>0</v>
      </c>
      <c r="K15" s="8"/>
      <c r="L15" s="12">
        <f>K15+сентябрь!L15</f>
        <v>0</v>
      </c>
    </row>
    <row r="16" spans="1:12" ht="12.95" customHeight="1">
      <c r="A16" s="1">
        <f t="shared" si="1"/>
        <v>14</v>
      </c>
      <c r="B16" s="28" t="str">
        <f>сентябрь!B16</f>
        <v>Эксплуатация общедом.ПУ</v>
      </c>
      <c r="C16" s="8">
        <f>162.04+28.53</f>
        <v>190.57</v>
      </c>
      <c r="D16" s="12">
        <f>C16+сентябрь!D16</f>
        <v>1578.9799999999998</v>
      </c>
      <c r="E16" s="8">
        <f>152.04+21.59</f>
        <v>173.63</v>
      </c>
      <c r="F16" s="12">
        <f>E16+сентябрь!F16</f>
        <v>1695.9</v>
      </c>
      <c r="G16" s="12">
        <f t="shared" si="0"/>
        <v>-16.939999999999998</v>
      </c>
      <c r="H16" s="13">
        <f t="shared" si="0"/>
        <v>116.9200000000003</v>
      </c>
      <c r="I16" s="9"/>
      <c r="J16" s="13">
        <f>I16+сентябрь!J16</f>
        <v>0</v>
      </c>
      <c r="K16" s="8"/>
      <c r="L16" s="12">
        <f>K16+сентябрь!L16</f>
        <v>0</v>
      </c>
    </row>
    <row r="17" spans="1:12" ht="12.95" customHeight="1">
      <c r="A17" s="1">
        <f t="shared" si="1"/>
        <v>15</v>
      </c>
      <c r="B17" s="28" t="str">
        <f>сентябрь!B17</f>
        <v>Хол.водоснабж.(о/д нужды)</v>
      </c>
      <c r="C17" s="8">
        <f>294+52.08</f>
        <v>346.08</v>
      </c>
      <c r="D17" s="12">
        <f>C17+сентябрь!D17</f>
        <v>2380.7999999999997</v>
      </c>
      <c r="E17" s="8">
        <f>273.13+39.3</f>
        <v>312.43</v>
      </c>
      <c r="F17" s="12">
        <f>E17+сентябрь!F17</f>
        <v>2373.5500000000002</v>
      </c>
      <c r="G17" s="12">
        <f t="shared" si="0"/>
        <v>-33.649999999999977</v>
      </c>
      <c r="H17" s="13">
        <f t="shared" si="0"/>
        <v>-7.2499999999995453</v>
      </c>
      <c r="I17" s="9"/>
      <c r="J17" s="13">
        <f>I17+сентябрь!J17</f>
        <v>0</v>
      </c>
      <c r="K17" s="8"/>
      <c r="L17" s="12">
        <f>K17+сентябрь!L17</f>
        <v>0</v>
      </c>
    </row>
    <row r="18" spans="1:12" ht="12.95" customHeight="1">
      <c r="A18" s="1">
        <f t="shared" si="1"/>
        <v>16</v>
      </c>
      <c r="B18" s="28" t="str">
        <f>сентябрь!B18</f>
        <v>Водоотведение(о/д нужды)</v>
      </c>
      <c r="C18" s="8">
        <f>30829.71+7018.85</f>
        <v>37848.559999999998</v>
      </c>
      <c r="D18" s="12">
        <f>C18+сентябрь!D18</f>
        <v>37848.559999999998</v>
      </c>
      <c r="E18" s="8">
        <f>11382.48+2826.34</f>
        <v>14208.82</v>
      </c>
      <c r="F18" s="12">
        <f>E18+сентябрь!F18</f>
        <v>14208.82</v>
      </c>
      <c r="G18" s="12">
        <f t="shared" si="0"/>
        <v>-23639.739999999998</v>
      </c>
      <c r="H18" s="13">
        <f t="shared" si="0"/>
        <v>-23639.739999999998</v>
      </c>
      <c r="I18" s="9"/>
      <c r="J18" s="13">
        <f>I18+сентябрь!J18</f>
        <v>0</v>
      </c>
      <c r="K18" s="8"/>
      <c r="L18" s="12">
        <f>K18+сентябрь!L18</f>
        <v>0</v>
      </c>
    </row>
    <row r="19" spans="1:12" ht="12.95" customHeight="1">
      <c r="A19" s="1">
        <f t="shared" si="1"/>
        <v>17</v>
      </c>
      <c r="B19" s="28" t="str">
        <f>сентябрь!B19</f>
        <v>Отопление(о/д нужды)</v>
      </c>
      <c r="C19" s="8">
        <f>0+0</f>
        <v>0</v>
      </c>
      <c r="D19" s="12">
        <f>C19+сентябрь!D19</f>
        <v>0</v>
      </c>
      <c r="E19" s="8">
        <f>0+0</f>
        <v>0</v>
      </c>
      <c r="F19" s="12">
        <f>E19+сентябрь!F19</f>
        <v>0</v>
      </c>
      <c r="G19" s="12">
        <f t="shared" si="0"/>
        <v>0</v>
      </c>
      <c r="H19" s="13">
        <f t="shared" si="0"/>
        <v>0</v>
      </c>
      <c r="I19" s="9"/>
      <c r="J19" s="13">
        <f>I19+сентябрь!J19</f>
        <v>0</v>
      </c>
      <c r="K19" s="8"/>
      <c r="L19" s="12">
        <f>K19+сентябрь!L19</f>
        <v>0</v>
      </c>
    </row>
    <row r="20" spans="1:12" ht="12.95" customHeight="1">
      <c r="A20" s="1">
        <f t="shared" si="1"/>
        <v>18</v>
      </c>
      <c r="B20" s="28" t="str">
        <f>сентябрь!B20</f>
        <v>Электроснабжение(общед.нужды)</v>
      </c>
      <c r="C20" s="8">
        <f>54725.03+14142.69</f>
        <v>68867.72</v>
      </c>
      <c r="D20" s="12">
        <f>C20+сентябрь!D20</f>
        <v>624671.17000000004</v>
      </c>
      <c r="E20" s="8">
        <f>62548.83+10071.53</f>
        <v>72620.36</v>
      </c>
      <c r="F20" s="12">
        <f>E20+сентябрь!F20</f>
        <v>650787.72</v>
      </c>
      <c r="G20" s="12">
        <f t="shared" si="0"/>
        <v>3752.6399999999994</v>
      </c>
      <c r="H20" s="13">
        <f t="shared" si="0"/>
        <v>26116.54999999993</v>
      </c>
      <c r="I20" s="9"/>
      <c r="J20" s="13">
        <f>I20+сентябрь!J20</f>
        <v>0</v>
      </c>
      <c r="K20" s="8"/>
      <c r="L20" s="12">
        <f>K20+сентябрь!L20</f>
        <v>0</v>
      </c>
    </row>
    <row r="21" spans="1:12" ht="12.95" customHeight="1">
      <c r="A21" s="1">
        <f t="shared" si="1"/>
        <v>19</v>
      </c>
      <c r="B21" s="28" t="str">
        <f>сентябрь!B21</f>
        <v>Горячее водоснабж.(о/д нужды)</v>
      </c>
      <c r="C21" s="8">
        <f>0+0</f>
        <v>0</v>
      </c>
      <c r="D21" s="12">
        <f>C21+сентябрь!D21</f>
        <v>0</v>
      </c>
      <c r="E21" s="8">
        <f>0+0</f>
        <v>0</v>
      </c>
      <c r="F21" s="12">
        <f>E21+сентябрь!F21</f>
        <v>0</v>
      </c>
      <c r="G21" s="12">
        <f t="shared" si="0"/>
        <v>0</v>
      </c>
      <c r="H21" s="13">
        <f t="shared" si="0"/>
        <v>0</v>
      </c>
      <c r="I21" s="9"/>
      <c r="J21" s="13">
        <f>I21+сентябрь!J21</f>
        <v>0</v>
      </c>
      <c r="K21" s="8"/>
      <c r="L21" s="12">
        <f>K21+сентябрь!L21</f>
        <v>0</v>
      </c>
    </row>
    <row r="22" spans="1:12" ht="12.95" customHeight="1">
      <c r="A22" s="1">
        <f t="shared" si="1"/>
        <v>20</v>
      </c>
      <c r="B22" s="28"/>
      <c r="C22" s="8">
        <f>0+0</f>
        <v>0</v>
      </c>
      <c r="D22" s="12">
        <f>C22+сентябрь!D22</f>
        <v>0</v>
      </c>
      <c r="E22" s="8">
        <f>0+0</f>
        <v>0</v>
      </c>
      <c r="F22" s="12">
        <f>E22+сентябрь!F22</f>
        <v>0</v>
      </c>
      <c r="G22" s="12">
        <f t="shared" si="0"/>
        <v>0</v>
      </c>
      <c r="H22" s="13">
        <f t="shared" si="0"/>
        <v>0</v>
      </c>
      <c r="I22" s="9"/>
      <c r="J22" s="13">
        <f>I22+сентябрь!J22</f>
        <v>0</v>
      </c>
      <c r="K22" s="8"/>
      <c r="L22" s="12">
        <f>K22+сентябрь!L22</f>
        <v>0</v>
      </c>
    </row>
    <row r="23" spans="1:12" ht="12.95" customHeight="1">
      <c r="A23" s="18"/>
      <c r="B23" s="17" t="s">
        <v>12</v>
      </c>
      <c r="C23" s="12">
        <f t="shared" ref="C23:L23" si="2">SUM(C3:C22)</f>
        <v>355010.94999999995</v>
      </c>
      <c r="D23" s="12">
        <f t="shared" si="2"/>
        <v>2349141.2600000002</v>
      </c>
      <c r="E23" s="13">
        <f t="shared" si="2"/>
        <v>248759.7</v>
      </c>
      <c r="F23" s="12">
        <f t="shared" si="2"/>
        <v>2500065.1000000006</v>
      </c>
      <c r="G23" s="12">
        <f t="shared" si="2"/>
        <v>-106251.24999999999</v>
      </c>
      <c r="H23" s="13">
        <f t="shared" si="2"/>
        <v>150923.84000000008</v>
      </c>
      <c r="I23" s="13">
        <f t="shared" si="2"/>
        <v>0</v>
      </c>
      <c r="J23" s="13">
        <f t="shared" si="2"/>
        <v>0</v>
      </c>
      <c r="K23" s="12">
        <f t="shared" si="2"/>
        <v>0</v>
      </c>
      <c r="L23" s="12">
        <f t="shared" si="2"/>
        <v>0</v>
      </c>
    </row>
    <row r="25" spans="1:12" ht="3.75" customHeight="1"/>
    <row r="26" spans="1:12" hidden="1"/>
    <row r="27" spans="1:12" hidden="1"/>
    <row r="28" spans="1:12">
      <c r="B28" s="1" t="s">
        <v>35</v>
      </c>
      <c r="C28" s="9">
        <f>C9+C10+C11+C15+C17+C18+C22</f>
        <v>76043.199999999997</v>
      </c>
      <c r="D28" s="9">
        <f t="shared" ref="D28:J28" si="3">D9+D10+D11+D15+D17+D18+D22</f>
        <v>322421.94</v>
      </c>
      <c r="E28" s="9">
        <f t="shared" si="3"/>
        <v>28730.07</v>
      </c>
      <c r="F28" s="9">
        <f t="shared" si="3"/>
        <v>298336.74</v>
      </c>
      <c r="G28" s="9">
        <f t="shared" si="3"/>
        <v>-47313.13</v>
      </c>
      <c r="H28" s="9">
        <f t="shared" si="3"/>
        <v>-24085.200000000019</v>
      </c>
      <c r="I28" s="9">
        <f t="shared" si="3"/>
        <v>0</v>
      </c>
      <c r="J28" s="9">
        <f t="shared" si="3"/>
        <v>0</v>
      </c>
    </row>
    <row r="29" spans="1:12">
      <c r="B29" s="1" t="s">
        <v>36</v>
      </c>
      <c r="C29" s="9">
        <f>C8+C20</f>
        <v>105459.52</v>
      </c>
      <c r="D29" s="9">
        <f t="shared" ref="D29:J29" si="4">D8+D20</f>
        <v>945502.95</v>
      </c>
      <c r="E29" s="9">
        <f t="shared" si="4"/>
        <v>104470.18</v>
      </c>
      <c r="F29" s="9">
        <f t="shared" si="4"/>
        <v>998001.36999999988</v>
      </c>
      <c r="G29" s="9">
        <f t="shared" si="4"/>
        <v>-989.34000000000378</v>
      </c>
      <c r="H29" s="9">
        <f t="shared" si="4"/>
        <v>52498.419999999925</v>
      </c>
      <c r="I29" s="9">
        <f t="shared" si="4"/>
        <v>0</v>
      </c>
      <c r="J29" s="9">
        <f t="shared" si="4"/>
        <v>0</v>
      </c>
    </row>
    <row r="30" spans="1:12">
      <c r="B30" s="1" t="s">
        <v>37</v>
      </c>
      <c r="C30" s="9">
        <f>C4+C5+C21+C19</f>
        <v>110168.9</v>
      </c>
      <c r="D30" s="9">
        <f t="shared" ref="D30:J30" si="5">D4+D5+D21+D19</f>
        <v>535941.9</v>
      </c>
      <c r="E30" s="9">
        <f t="shared" si="5"/>
        <v>57748.56</v>
      </c>
      <c r="F30" s="9">
        <f t="shared" si="5"/>
        <v>621537.60000000009</v>
      </c>
      <c r="G30" s="9">
        <f t="shared" si="5"/>
        <v>-52420.34</v>
      </c>
      <c r="H30" s="9">
        <f t="shared" si="5"/>
        <v>85595.70000000007</v>
      </c>
      <c r="I30" s="9">
        <f t="shared" si="5"/>
        <v>0</v>
      </c>
      <c r="J30" s="9">
        <f t="shared" si="5"/>
        <v>0</v>
      </c>
    </row>
    <row r="33" spans="4:5">
      <c r="D33">
        <v>294467.82</v>
      </c>
      <c r="E33">
        <v>210879.87</v>
      </c>
    </row>
    <row r="34" spans="4:5">
      <c r="D34">
        <v>60543.13</v>
      </c>
      <c r="E34">
        <v>37879.83</v>
      </c>
    </row>
    <row r="35" spans="4:5">
      <c r="D35" s="11">
        <f>D33+D34</f>
        <v>355010.95</v>
      </c>
      <c r="E35" s="11">
        <f>E33+E34</f>
        <v>248759.7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E21" sqref="E21:E22"/>
    </sheetView>
  </sheetViews>
  <sheetFormatPr defaultRowHeight="12.75"/>
  <cols>
    <col min="1" max="1" width="3.5703125" customWidth="1"/>
    <col min="2" max="2" width="30" customWidth="1"/>
    <col min="3" max="3" width="10.7109375" customWidth="1"/>
    <col min="4" max="4" width="11.28515625" customWidth="1"/>
    <col min="5" max="5" width="10.28515625" customWidth="1"/>
    <col min="6" max="6" width="12.85546875" customWidth="1"/>
    <col min="7" max="7" width="9.7109375" bestFit="1" customWidth="1"/>
    <col min="8" max="8" width="10.5703125" customWidth="1"/>
    <col min="9" max="9" width="10.140625" bestFit="1" customWidth="1"/>
    <col min="10" max="10" width="11" customWidth="1"/>
    <col min="11" max="11" width="10.140625" bestFit="1" customWidth="1"/>
    <col min="12" max="12" width="11.28515625" customWidth="1"/>
    <col min="13" max="13" width="11.140625" bestFit="1" customWidth="1"/>
  </cols>
  <sheetData>
    <row r="1" spans="1:13">
      <c r="B1" s="11" t="s">
        <v>38</v>
      </c>
      <c r="C1" s="62" t="s">
        <v>39</v>
      </c>
    </row>
    <row r="2" spans="1:13" s="27" customFormat="1" ht="38.25">
      <c r="A2" s="21" t="s">
        <v>0</v>
      </c>
      <c r="B2" s="22" t="s">
        <v>1</v>
      </c>
      <c r="C2" s="23" t="s">
        <v>2</v>
      </c>
      <c r="D2" s="24" t="s">
        <v>3</v>
      </c>
      <c r="E2" s="25" t="s">
        <v>4</v>
      </c>
      <c r="F2" s="24" t="s">
        <v>5</v>
      </c>
      <c r="G2" s="24" t="s">
        <v>6</v>
      </c>
      <c r="H2" s="26" t="s">
        <v>7</v>
      </c>
      <c r="I2" s="25" t="s">
        <v>8</v>
      </c>
      <c r="J2" s="26" t="s">
        <v>9</v>
      </c>
      <c r="K2" s="22" t="s">
        <v>10</v>
      </c>
      <c r="L2" s="24" t="s">
        <v>11</v>
      </c>
    </row>
    <row r="3" spans="1:13" ht="14.1" customHeight="1">
      <c r="A3" s="1">
        <v>1</v>
      </c>
      <c r="B3" s="28" t="str">
        <f>октябрь!B3</f>
        <v>Содержание общ.имущ.дома</v>
      </c>
      <c r="C3" s="8">
        <f>27554.01+4850.92</f>
        <v>32404.93</v>
      </c>
      <c r="D3" s="12">
        <f>C3+октябрь!D3</f>
        <v>312884.8</v>
      </c>
      <c r="E3" s="9">
        <f>24067.38+4547.71</f>
        <v>28615.09</v>
      </c>
      <c r="F3" s="12">
        <f>E3+октябрь!F3</f>
        <v>328205.19000000006</v>
      </c>
      <c r="G3" s="12">
        <f>E3-C3</f>
        <v>-3789.84</v>
      </c>
      <c r="H3" s="13">
        <f>F3-D3</f>
        <v>15320.390000000072</v>
      </c>
      <c r="I3" s="9"/>
      <c r="J3" s="13">
        <f>I3+октябрь!J3</f>
        <v>0</v>
      </c>
      <c r="K3" s="8"/>
      <c r="L3" s="12">
        <f>K3+октябрь!L3</f>
        <v>0</v>
      </c>
    </row>
    <row r="4" spans="1:13" ht="14.1" customHeight="1">
      <c r="A4" s="1">
        <f>A3+1</f>
        <v>2</v>
      </c>
      <c r="B4" s="28" t="str">
        <f>октябрь!B4</f>
        <v>Отопление</v>
      </c>
      <c r="C4" s="8">
        <f>93676.95+16491.95</f>
        <v>110168.9</v>
      </c>
      <c r="D4" s="12">
        <f>C4+октябрь!D4</f>
        <v>646110.80000000005</v>
      </c>
      <c r="E4" s="9">
        <f>79023.47+14568.25</f>
        <v>93591.72</v>
      </c>
      <c r="F4" s="12">
        <f>E4+октябрь!F4</f>
        <v>715129.32000000007</v>
      </c>
      <c r="G4" s="12">
        <f t="shared" ref="G4:H22" si="0">E4-C4</f>
        <v>-16577.179999999993</v>
      </c>
      <c r="H4" s="13">
        <f t="shared" si="0"/>
        <v>69018.520000000019</v>
      </c>
      <c r="I4" s="9"/>
      <c r="J4" s="13">
        <f>I4+октябрь!J4</f>
        <v>0</v>
      </c>
      <c r="K4" s="8"/>
      <c r="L4" s="12">
        <f>K4+октябрь!L4</f>
        <v>0</v>
      </c>
      <c r="M4" s="20">
        <f>L4-J4</f>
        <v>0</v>
      </c>
    </row>
    <row r="5" spans="1:13" ht="14.1" customHeight="1">
      <c r="A5" s="1">
        <f t="shared" ref="A5:A22" si="1">A4+1</f>
        <v>3</v>
      </c>
      <c r="B5" s="28" t="str">
        <f>октябрь!B5</f>
        <v>Горячее водоснабжение</v>
      </c>
      <c r="C5" s="8">
        <f>0+0</f>
        <v>0</v>
      </c>
      <c r="D5" s="12">
        <f>C5+октябрь!D5</f>
        <v>0</v>
      </c>
      <c r="E5" s="8">
        <f>0+0</f>
        <v>0</v>
      </c>
      <c r="F5" s="12">
        <f>E5+октябрь!F5</f>
        <v>0</v>
      </c>
      <c r="G5" s="12">
        <f t="shared" si="0"/>
        <v>0</v>
      </c>
      <c r="H5" s="13">
        <f t="shared" si="0"/>
        <v>0</v>
      </c>
      <c r="I5" s="9"/>
      <c r="J5" s="13">
        <f>I5+октябрь!J5</f>
        <v>0</v>
      </c>
      <c r="K5" s="8"/>
      <c r="L5" s="12">
        <f>K5+октябрь!L5</f>
        <v>0</v>
      </c>
    </row>
    <row r="6" spans="1:13" ht="14.1" customHeight="1">
      <c r="A6" s="1">
        <f t="shared" si="1"/>
        <v>4</v>
      </c>
      <c r="B6" s="28" t="str">
        <f>октябрь!B6</f>
        <v>Газ</v>
      </c>
      <c r="C6" s="8">
        <f>0+0</f>
        <v>0</v>
      </c>
      <c r="D6" s="12">
        <f>C6+октябрь!D6</f>
        <v>0</v>
      </c>
      <c r="E6" s="8">
        <f>0+0</f>
        <v>0</v>
      </c>
      <c r="F6" s="12">
        <f>E6+октябрь!F6</f>
        <v>0</v>
      </c>
      <c r="G6" s="12">
        <f t="shared" si="0"/>
        <v>0</v>
      </c>
      <c r="H6" s="13">
        <f t="shared" si="0"/>
        <v>0</v>
      </c>
      <c r="I6" s="9"/>
      <c r="J6" s="13">
        <f>I6+октябрь!J6</f>
        <v>0</v>
      </c>
      <c r="K6" s="8"/>
      <c r="L6" s="12">
        <f>K6+октябрь!L6</f>
        <v>0</v>
      </c>
    </row>
    <row r="7" spans="1:13" ht="14.1" customHeight="1">
      <c r="A7" s="1">
        <f t="shared" si="1"/>
        <v>5</v>
      </c>
      <c r="B7" s="28" t="str">
        <f>октябрь!B7</f>
        <v>Уборка и сан.очистка зем.уч.</v>
      </c>
      <c r="C7" s="8">
        <f>4237.36+745.98</f>
        <v>4983.34</v>
      </c>
      <c r="D7" s="12">
        <f>C7+октябрь!D7</f>
        <v>45612.25</v>
      </c>
      <c r="E7" s="9">
        <f>3685.17+699.34</f>
        <v>4384.51</v>
      </c>
      <c r="F7" s="12">
        <f>E7+октябрь!F7</f>
        <v>47413.08</v>
      </c>
      <c r="G7" s="12">
        <f t="shared" si="0"/>
        <v>-598.82999999999993</v>
      </c>
      <c r="H7" s="13">
        <f t="shared" si="0"/>
        <v>1800.8300000000017</v>
      </c>
      <c r="I7" s="9"/>
      <c r="J7" s="13">
        <f>I7+октябрь!J7</f>
        <v>0</v>
      </c>
      <c r="K7" s="8"/>
      <c r="L7" s="12">
        <f>K7+октябрь!L7</f>
        <v>0</v>
      </c>
    </row>
    <row r="8" spans="1:13" ht="14.1" customHeight="1">
      <c r="A8" s="1">
        <f t="shared" si="1"/>
        <v>6</v>
      </c>
      <c r="B8" s="28" t="str">
        <f>октябрь!B8</f>
        <v>Электроснабжение (инд.потр)</v>
      </c>
      <c r="C8" s="8">
        <f>30687.48+7204.68</f>
        <v>37892.160000000003</v>
      </c>
      <c r="D8" s="12">
        <f>C8+октябрь!D8</f>
        <v>358723.93999999994</v>
      </c>
      <c r="E8" s="9">
        <f>26991.95+6394.18</f>
        <v>33386.130000000005</v>
      </c>
      <c r="F8" s="12">
        <f>E8+октябрь!F8</f>
        <v>380599.77999999997</v>
      </c>
      <c r="G8" s="12">
        <f t="shared" si="0"/>
        <v>-4506.0299999999988</v>
      </c>
      <c r="H8" s="13">
        <f t="shared" si="0"/>
        <v>21875.840000000026</v>
      </c>
      <c r="I8" s="9"/>
      <c r="J8" s="13">
        <f>I8+октябрь!J8</f>
        <v>0</v>
      </c>
      <c r="K8" s="8"/>
      <c r="L8" s="12">
        <f>K8+октябрь!L8</f>
        <v>0</v>
      </c>
    </row>
    <row r="9" spans="1:13" ht="14.1" customHeight="1">
      <c r="A9" s="1">
        <f t="shared" si="1"/>
        <v>7</v>
      </c>
      <c r="B9" s="28" t="str">
        <f>октябрь!B9</f>
        <v>Хол.вода</v>
      </c>
      <c r="C9" s="8">
        <f>31921.09+7609.97</f>
        <v>39531.06</v>
      </c>
      <c r="D9" s="12">
        <f>C9+октябрь!D9</f>
        <v>199551.63</v>
      </c>
      <c r="E9" s="9">
        <f>31303.83+8342.18</f>
        <v>39646.01</v>
      </c>
      <c r="F9" s="12">
        <f>E9+октябрь!F9</f>
        <v>187627.61000000002</v>
      </c>
      <c r="G9" s="12">
        <f t="shared" si="0"/>
        <v>114.95000000000437</v>
      </c>
      <c r="H9" s="13">
        <f t="shared" si="0"/>
        <v>-11924.01999999999</v>
      </c>
      <c r="I9" s="9"/>
      <c r="J9" s="13">
        <f>I9+октябрь!J9</f>
        <v>0</v>
      </c>
      <c r="K9" s="8"/>
      <c r="L9" s="12">
        <f>K9+октябрь!L9</f>
        <v>0</v>
      </c>
    </row>
    <row r="10" spans="1:13" ht="14.1" customHeight="1">
      <c r="A10" s="1">
        <f t="shared" si="1"/>
        <v>8</v>
      </c>
      <c r="B10" s="28" t="str">
        <f>октябрь!B10</f>
        <v>Канализир.х.воды</v>
      </c>
      <c r="C10" s="8">
        <f>0+0</f>
        <v>0</v>
      </c>
      <c r="D10" s="12">
        <f>C10+октябрь!D10</f>
        <v>0</v>
      </c>
      <c r="E10" s="8">
        <f>0+0</f>
        <v>0</v>
      </c>
      <c r="F10" s="12">
        <f>E10+октябрь!F10</f>
        <v>0</v>
      </c>
      <c r="G10" s="12">
        <f t="shared" si="0"/>
        <v>0</v>
      </c>
      <c r="H10" s="13">
        <f t="shared" si="0"/>
        <v>0</v>
      </c>
      <c r="I10" s="9"/>
      <c r="J10" s="13">
        <f>I10+октябрь!J10</f>
        <v>0</v>
      </c>
      <c r="K10" s="8"/>
      <c r="L10" s="12">
        <f>K10+октябрь!L10</f>
        <v>0</v>
      </c>
    </row>
    <row r="11" spans="1:13" ht="14.1" customHeight="1">
      <c r="A11" s="1">
        <f t="shared" si="1"/>
        <v>9</v>
      </c>
      <c r="B11" s="28" t="str">
        <f>октябрь!B11</f>
        <v>Канализир.г.воды</v>
      </c>
      <c r="C11" s="8">
        <f>0+0</f>
        <v>0</v>
      </c>
      <c r="D11" s="12">
        <f>C11+октябрь!D11</f>
        <v>0</v>
      </c>
      <c r="E11" s="8">
        <f>0+0</f>
        <v>0</v>
      </c>
      <c r="F11" s="12">
        <f>E11+октябрь!F11</f>
        <v>0</v>
      </c>
      <c r="G11" s="12">
        <f t="shared" si="0"/>
        <v>0</v>
      </c>
      <c r="H11" s="13">
        <f t="shared" si="0"/>
        <v>0</v>
      </c>
      <c r="I11" s="9"/>
      <c r="J11" s="13">
        <f>I11+октябрь!J11</f>
        <v>0</v>
      </c>
      <c r="K11" s="8"/>
      <c r="L11" s="12">
        <f>K11+октябрь!L11</f>
        <v>0</v>
      </c>
    </row>
    <row r="12" spans="1:13" ht="14.1" customHeight="1">
      <c r="A12" s="1">
        <f t="shared" si="1"/>
        <v>10</v>
      </c>
      <c r="B12" s="28" t="str">
        <f>октябрь!B12</f>
        <v>Тек.рем.общ.имущ.дома</v>
      </c>
      <c r="C12" s="8">
        <f>14378.98+2531.45</f>
        <v>16910.43</v>
      </c>
      <c r="D12" s="12">
        <f>C12+октябрь!D12</f>
        <v>164066.99999999997</v>
      </c>
      <c r="E12" s="9">
        <f>12575.87+2373.21</f>
        <v>14949.080000000002</v>
      </c>
      <c r="F12" s="12">
        <f>E12+октябрь!F12</f>
        <v>172826.43</v>
      </c>
      <c r="G12" s="12">
        <f t="shared" si="0"/>
        <v>-1961.3499999999985</v>
      </c>
      <c r="H12" s="13">
        <f t="shared" si="0"/>
        <v>8759.4300000000221</v>
      </c>
      <c r="I12" s="9"/>
      <c r="J12" s="13">
        <f>I12+октябрь!J12</f>
        <v>0</v>
      </c>
      <c r="K12" s="8"/>
      <c r="L12" s="12">
        <f>K12+октябрь!L12</f>
        <v>0</v>
      </c>
    </row>
    <row r="13" spans="1:13" ht="14.1" customHeight="1">
      <c r="A13" s="1">
        <f t="shared" si="1"/>
        <v>11</v>
      </c>
      <c r="B13" s="28" t="str">
        <f>октябрь!B13</f>
        <v>Сод.и тек.рем.в/дом.газосн.</v>
      </c>
      <c r="C13" s="8">
        <f>1574.5+277.18</f>
        <v>1851.68</v>
      </c>
      <c r="D13" s="12">
        <f>C13+октябрь!D13</f>
        <v>18108.900000000001</v>
      </c>
      <c r="E13" s="9">
        <f>1378.14+259.86</f>
        <v>1638</v>
      </c>
      <c r="F13" s="12">
        <f>E13+октябрь!F13</f>
        <v>19106.25</v>
      </c>
      <c r="G13" s="12">
        <f t="shared" si="0"/>
        <v>-213.68000000000006</v>
      </c>
      <c r="H13" s="13">
        <f t="shared" si="0"/>
        <v>997.34999999999854</v>
      </c>
      <c r="I13" s="9"/>
      <c r="J13" s="13">
        <f>I13+октябрь!J13</f>
        <v>0</v>
      </c>
      <c r="K13" s="8"/>
      <c r="L13" s="12">
        <f>K13+октябрь!L13</f>
        <v>0</v>
      </c>
    </row>
    <row r="14" spans="1:13" ht="14.1" customHeight="1">
      <c r="A14" s="1">
        <f t="shared" si="1"/>
        <v>12</v>
      </c>
      <c r="B14" s="28" t="str">
        <f>октябрь!B14</f>
        <v>Управление многокв.дом.</v>
      </c>
      <c r="C14" s="8">
        <f>5950.73+1047.65</f>
        <v>6998.3799999999992</v>
      </c>
      <c r="D14" s="12">
        <f>C14+октябрь!D14</f>
        <v>66171.299999999988</v>
      </c>
      <c r="E14" s="9">
        <f>5191.38+982.17</f>
        <v>6173.55</v>
      </c>
      <c r="F14" s="12">
        <f>E14+октябрь!F14</f>
        <v>68702.77</v>
      </c>
      <c r="G14" s="12">
        <f t="shared" si="0"/>
        <v>-824.82999999999902</v>
      </c>
      <c r="H14" s="13">
        <f t="shared" si="0"/>
        <v>2531.4700000000157</v>
      </c>
      <c r="I14" s="9"/>
      <c r="J14" s="13">
        <f>I14+октябрь!J14</f>
        <v>0</v>
      </c>
      <c r="K14" s="8"/>
      <c r="L14" s="12">
        <f>K14+октябрь!L14</f>
        <v>0</v>
      </c>
    </row>
    <row r="15" spans="1:13" ht="14.1" customHeight="1">
      <c r="A15" s="1">
        <f t="shared" si="1"/>
        <v>13</v>
      </c>
      <c r="B15" s="28" t="str">
        <f>октябрь!B15</f>
        <v>Водоотведение(кв)</v>
      </c>
      <c r="C15" s="8">
        <f>31921.09+7609.97</f>
        <v>39531.06</v>
      </c>
      <c r="D15" s="12">
        <f>C15+октябрь!D15</f>
        <v>161703.07</v>
      </c>
      <c r="E15" s="9">
        <f>31303.86+8342.18</f>
        <v>39646.04</v>
      </c>
      <c r="F15" s="12">
        <f>E15+октябрь!F15</f>
        <v>173418.81</v>
      </c>
      <c r="G15" s="12">
        <f t="shared" si="0"/>
        <v>114.9800000000032</v>
      </c>
      <c r="H15" s="13">
        <f t="shared" si="0"/>
        <v>11715.739999999991</v>
      </c>
      <c r="I15" s="9"/>
      <c r="J15" s="13">
        <f>I15+октябрь!J15</f>
        <v>0</v>
      </c>
      <c r="K15" s="8"/>
      <c r="L15" s="12">
        <f>K15+октябрь!L15</f>
        <v>0</v>
      </c>
    </row>
    <row r="16" spans="1:13" ht="14.1" customHeight="1">
      <c r="A16" s="1">
        <f t="shared" si="1"/>
        <v>14</v>
      </c>
      <c r="B16" s="28" t="str">
        <f>октябрь!B16</f>
        <v>Эксплуатация общедом.ПУ</v>
      </c>
      <c r="C16" s="8">
        <f>162.04+28.53</f>
        <v>190.57</v>
      </c>
      <c r="D16" s="12">
        <f>C16+октябрь!D16</f>
        <v>1769.5499999999997</v>
      </c>
      <c r="E16" s="9">
        <f>141.16+26.74</f>
        <v>167.9</v>
      </c>
      <c r="F16" s="12">
        <f>E16+октябрь!F16</f>
        <v>1863.8000000000002</v>
      </c>
      <c r="G16" s="12">
        <f t="shared" si="0"/>
        <v>-22.669999999999987</v>
      </c>
      <c r="H16" s="13">
        <f t="shared" si="0"/>
        <v>94.250000000000455</v>
      </c>
      <c r="I16" s="9"/>
      <c r="J16" s="13">
        <f>I16+октябрь!J16</f>
        <v>0</v>
      </c>
      <c r="K16" s="8"/>
      <c r="L16" s="12">
        <f>K16+октябрь!L16</f>
        <v>0</v>
      </c>
    </row>
    <row r="17" spans="1:12" ht="14.1" customHeight="1">
      <c r="A17" s="1">
        <f t="shared" si="1"/>
        <v>15</v>
      </c>
      <c r="B17" s="28" t="str">
        <f>октябрь!B17</f>
        <v>Хол.водоснабж.(о/д нужды)</v>
      </c>
      <c r="C17" s="8">
        <f>294+52.08</f>
        <v>346.08</v>
      </c>
      <c r="D17" s="12">
        <f>C17+октябрь!D17</f>
        <v>2726.8799999999997</v>
      </c>
      <c r="E17" s="9">
        <f>252.08+48.69</f>
        <v>300.77</v>
      </c>
      <c r="F17" s="12">
        <f>E17+октябрь!F17</f>
        <v>2674.32</v>
      </c>
      <c r="G17" s="12">
        <f t="shared" si="0"/>
        <v>-45.31</v>
      </c>
      <c r="H17" s="13">
        <f t="shared" si="0"/>
        <v>-52.559999999999491</v>
      </c>
      <c r="I17" s="9"/>
      <c r="J17" s="13">
        <f>I17+октябрь!J17</f>
        <v>0</v>
      </c>
      <c r="K17" s="8"/>
      <c r="L17" s="12">
        <f>K17+октябрь!L17</f>
        <v>0</v>
      </c>
    </row>
    <row r="18" spans="1:12" ht="14.1" customHeight="1">
      <c r="A18" s="1">
        <f t="shared" si="1"/>
        <v>16</v>
      </c>
      <c r="B18" s="28" t="str">
        <f>октябрь!B18</f>
        <v>Водоотведение(о/д нужды)</v>
      </c>
      <c r="C18" s="8">
        <f>0+0</f>
        <v>0</v>
      </c>
      <c r="D18" s="12">
        <f>C18+октябрь!D18</f>
        <v>37848.559999999998</v>
      </c>
      <c r="E18" s="8">
        <f>0+0</f>
        <v>0</v>
      </c>
      <c r="F18" s="12">
        <f>E18+октябрь!F18</f>
        <v>14208.82</v>
      </c>
      <c r="G18" s="12">
        <f t="shared" si="0"/>
        <v>0</v>
      </c>
      <c r="H18" s="13">
        <f t="shared" si="0"/>
        <v>-23639.739999999998</v>
      </c>
      <c r="I18" s="9"/>
      <c r="J18" s="13">
        <f>I18+октябрь!J18</f>
        <v>0</v>
      </c>
      <c r="K18" s="8"/>
      <c r="L18" s="12">
        <f>K18+октябрь!L18</f>
        <v>0</v>
      </c>
    </row>
    <row r="19" spans="1:12" ht="14.1" customHeight="1">
      <c r="A19" s="1">
        <f t="shared" si="1"/>
        <v>17</v>
      </c>
      <c r="B19" s="28" t="str">
        <f>октябрь!B19</f>
        <v>Отопление(о/д нужды)</v>
      </c>
      <c r="C19" s="8">
        <f>0+0</f>
        <v>0</v>
      </c>
      <c r="D19" s="12">
        <f>C19+октябрь!D19</f>
        <v>0</v>
      </c>
      <c r="E19" s="8">
        <f>0+0</f>
        <v>0</v>
      </c>
      <c r="F19" s="12">
        <f>E19+октябрь!F19</f>
        <v>0</v>
      </c>
      <c r="G19" s="12">
        <f t="shared" si="0"/>
        <v>0</v>
      </c>
      <c r="H19" s="13">
        <f t="shared" si="0"/>
        <v>0</v>
      </c>
      <c r="I19" s="9"/>
      <c r="J19" s="13">
        <f>I19+октябрь!J19</f>
        <v>0</v>
      </c>
      <c r="K19" s="8"/>
      <c r="L19" s="12">
        <f>K19+октябрь!L19</f>
        <v>0</v>
      </c>
    </row>
    <row r="20" spans="1:12" ht="14.1" customHeight="1">
      <c r="A20" s="1">
        <f t="shared" si="1"/>
        <v>18</v>
      </c>
      <c r="B20" s="28" t="str">
        <f>октябрь!B20</f>
        <v>Электроснабжение(общед.нужды)</v>
      </c>
      <c r="C20" s="8">
        <f>79156.98+13675.87</f>
        <v>92832.849999999991</v>
      </c>
      <c r="D20" s="12">
        <f>C20+октябрь!D20</f>
        <v>717504.02</v>
      </c>
      <c r="E20" s="9">
        <f>47572.58+9825.36</f>
        <v>57397.94</v>
      </c>
      <c r="F20" s="12">
        <f>E20+октябрь!F20</f>
        <v>708185.65999999992</v>
      </c>
      <c r="G20" s="12">
        <f t="shared" si="0"/>
        <v>-35434.909999999989</v>
      </c>
      <c r="H20" s="13">
        <f t="shared" si="0"/>
        <v>-9318.3600000001024</v>
      </c>
      <c r="I20" s="9"/>
      <c r="J20" s="13">
        <f>I20+октябрь!J20</f>
        <v>0</v>
      </c>
      <c r="K20" s="8"/>
      <c r="L20" s="12">
        <f>K20+октябрь!L20</f>
        <v>0</v>
      </c>
    </row>
    <row r="21" spans="1:12" ht="14.1" customHeight="1">
      <c r="A21" s="1">
        <f t="shared" si="1"/>
        <v>19</v>
      </c>
      <c r="B21" s="28" t="str">
        <f>октябрь!B21</f>
        <v>Горячее водоснабж.(о/д нужды)</v>
      </c>
      <c r="C21" s="8">
        <f>0+0</f>
        <v>0</v>
      </c>
      <c r="D21" s="12">
        <f>C21+октябрь!D21</f>
        <v>0</v>
      </c>
      <c r="E21" s="8">
        <f>0+0</f>
        <v>0</v>
      </c>
      <c r="F21" s="12">
        <f>E21+октябрь!F21</f>
        <v>0</v>
      </c>
      <c r="G21" s="12">
        <f t="shared" si="0"/>
        <v>0</v>
      </c>
      <c r="H21" s="13">
        <f t="shared" si="0"/>
        <v>0</v>
      </c>
      <c r="I21" s="9"/>
      <c r="J21" s="13">
        <f>I21+октябрь!J21</f>
        <v>0</v>
      </c>
      <c r="K21" s="8"/>
      <c r="L21" s="12">
        <f>K21+октябрь!L21</f>
        <v>0</v>
      </c>
    </row>
    <row r="22" spans="1:12" ht="14.1" customHeight="1">
      <c r="A22" s="1">
        <f t="shared" si="1"/>
        <v>20</v>
      </c>
      <c r="B22" s="28">
        <f>октябрь!B22</f>
        <v>0</v>
      </c>
      <c r="C22" s="8">
        <f>0+0</f>
        <v>0</v>
      </c>
      <c r="D22" s="12">
        <f>C22+октябрь!D22</f>
        <v>0</v>
      </c>
      <c r="E22" s="8">
        <f>0+0</f>
        <v>0</v>
      </c>
      <c r="F22" s="12">
        <f>E22+октябрь!F22</f>
        <v>0</v>
      </c>
      <c r="G22" s="12">
        <f t="shared" si="0"/>
        <v>0</v>
      </c>
      <c r="H22" s="13">
        <f t="shared" si="0"/>
        <v>0</v>
      </c>
      <c r="I22" s="9"/>
      <c r="J22" s="13">
        <f>I22+октябрь!J22</f>
        <v>0</v>
      </c>
      <c r="K22" s="8"/>
      <c r="L22" s="12">
        <f>K22+октябрь!L22</f>
        <v>0</v>
      </c>
    </row>
    <row r="23" spans="1:12" ht="14.1" customHeight="1">
      <c r="A23" s="18"/>
      <c r="B23" s="17" t="s">
        <v>12</v>
      </c>
      <c r="C23" s="12">
        <f t="shared" ref="C23:K23" si="2">SUM(C3:C22)</f>
        <v>383641.43999999994</v>
      </c>
      <c r="D23" s="12">
        <f t="shared" si="2"/>
        <v>2732782.7</v>
      </c>
      <c r="E23" s="13">
        <f t="shared" si="2"/>
        <v>319896.74000000005</v>
      </c>
      <c r="F23" s="12">
        <f t="shared" si="2"/>
        <v>2819961.84</v>
      </c>
      <c r="G23" s="12">
        <f t="shared" si="2"/>
        <v>-63744.699999999968</v>
      </c>
      <c r="H23" s="13">
        <f t="shared" si="2"/>
        <v>87179.140000000043</v>
      </c>
      <c r="I23" s="13">
        <f t="shared" si="2"/>
        <v>0</v>
      </c>
      <c r="J23" s="13">
        <f t="shared" si="2"/>
        <v>0</v>
      </c>
      <c r="K23" s="12">
        <f t="shared" si="2"/>
        <v>0</v>
      </c>
      <c r="L23" s="12">
        <f>K23+октябрь!L23</f>
        <v>0</v>
      </c>
    </row>
    <row r="24" spans="1:12" ht="9.75" customHeight="1"/>
    <row r="25" spans="1:12" hidden="1"/>
    <row r="26" spans="1:12" hidden="1"/>
    <row r="27" spans="1:12" hidden="1"/>
    <row r="28" spans="1:12">
      <c r="B28" s="1" t="s">
        <v>35</v>
      </c>
      <c r="C28" s="9">
        <f>C9+C10+C11+C15+C17+C18+C22</f>
        <v>79408.2</v>
      </c>
      <c r="D28" s="9">
        <f t="shared" ref="D28:J28" si="3">D9+D10+D11+D15+D17+D18+D22</f>
        <v>401830.14</v>
      </c>
      <c r="E28" s="9">
        <f t="shared" si="3"/>
        <v>79592.820000000007</v>
      </c>
      <c r="F28" s="9">
        <f t="shared" si="3"/>
        <v>377929.56000000006</v>
      </c>
      <c r="G28" s="9">
        <f t="shared" si="3"/>
        <v>184.62000000000756</v>
      </c>
      <c r="H28" s="9">
        <f t="shared" si="3"/>
        <v>-23900.579999999994</v>
      </c>
      <c r="I28" s="9">
        <f t="shared" si="3"/>
        <v>0</v>
      </c>
      <c r="J28" s="9">
        <f t="shared" si="3"/>
        <v>0</v>
      </c>
    </row>
    <row r="29" spans="1:12">
      <c r="B29" s="1" t="s">
        <v>36</v>
      </c>
      <c r="C29" s="9">
        <f>C8+C20</f>
        <v>130725.01</v>
      </c>
      <c r="D29" s="9">
        <f t="shared" ref="D29:J29" si="4">D8+D20</f>
        <v>1076227.96</v>
      </c>
      <c r="E29" s="9">
        <f t="shared" si="4"/>
        <v>90784.07</v>
      </c>
      <c r="F29" s="9">
        <f t="shared" si="4"/>
        <v>1088785.44</v>
      </c>
      <c r="G29" s="9">
        <f t="shared" si="4"/>
        <v>-39940.939999999988</v>
      </c>
      <c r="H29" s="9">
        <f t="shared" si="4"/>
        <v>12557.479999999923</v>
      </c>
      <c r="I29" s="9">
        <f t="shared" si="4"/>
        <v>0</v>
      </c>
      <c r="J29" s="9">
        <f t="shared" si="4"/>
        <v>0</v>
      </c>
    </row>
    <row r="30" spans="1:12">
      <c r="B30" s="1" t="s">
        <v>37</v>
      </c>
      <c r="C30" s="9">
        <f>C4+C5+C21+C19</f>
        <v>110168.9</v>
      </c>
      <c r="D30" s="9">
        <f t="shared" ref="D30:J30" si="5">D4+D5+D21+D19</f>
        <v>646110.80000000005</v>
      </c>
      <c r="E30" s="9">
        <f t="shared" si="5"/>
        <v>93591.72</v>
      </c>
      <c r="F30" s="9">
        <f t="shared" si="5"/>
        <v>715129.32000000007</v>
      </c>
      <c r="G30" s="9">
        <f t="shared" si="5"/>
        <v>-16577.179999999993</v>
      </c>
      <c r="H30" s="9">
        <f t="shared" si="5"/>
        <v>69018.520000000019</v>
      </c>
      <c r="I30" s="9">
        <f t="shared" si="5"/>
        <v>0</v>
      </c>
      <c r="J30" s="9">
        <f t="shared" si="5"/>
        <v>0</v>
      </c>
    </row>
    <row r="33" spans="4:5">
      <c r="D33">
        <v>321515.21000000002</v>
      </c>
      <c r="E33">
        <v>263486.87</v>
      </c>
    </row>
    <row r="34" spans="4:5">
      <c r="D34">
        <v>62126.23</v>
      </c>
      <c r="E34">
        <v>56409.87</v>
      </c>
    </row>
    <row r="35" spans="4:5">
      <c r="D35" s="11">
        <f>D33+D34</f>
        <v>383641.44</v>
      </c>
      <c r="E35" s="11">
        <f>E33+E34</f>
        <v>319896.74</v>
      </c>
    </row>
  </sheetData>
  <phoneticPr fontId="0" type="noConversion"/>
  <pageMargins left="0.17" right="0.17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activeCell="E21" sqref="E21:E22"/>
    </sheetView>
  </sheetViews>
  <sheetFormatPr defaultRowHeight="12.75"/>
  <cols>
    <col min="1" max="1" width="3.7109375" style="43" customWidth="1"/>
    <col min="2" max="2" width="30.7109375" style="43" customWidth="1"/>
    <col min="3" max="3" width="13.28515625" style="43" customWidth="1"/>
    <col min="4" max="4" width="12.85546875" style="43" customWidth="1"/>
    <col min="5" max="5" width="12.42578125" style="43" customWidth="1"/>
    <col min="6" max="6" width="13.42578125" style="43" customWidth="1"/>
    <col min="7" max="7" width="9.7109375" style="43" bestFit="1" customWidth="1"/>
    <col min="8" max="8" width="13.5703125" style="43" customWidth="1"/>
    <col min="9" max="9" width="9.28515625" style="43" bestFit="1" customWidth="1"/>
    <col min="10" max="10" width="11.28515625" style="43" customWidth="1"/>
    <col min="11" max="11" width="9.28515625" style="43" bestFit="1" customWidth="1"/>
    <col min="12" max="12" width="12.5703125" style="43" customWidth="1"/>
    <col min="13" max="13" width="11.140625" bestFit="1" customWidth="1"/>
  </cols>
  <sheetData>
    <row r="1" spans="1:13" s="38" customFormat="1">
      <c r="A1" s="43"/>
      <c r="B1" s="11" t="s">
        <v>38</v>
      </c>
      <c r="C1" s="11" t="s">
        <v>40</v>
      </c>
      <c r="D1" s="43"/>
      <c r="E1" s="43"/>
      <c r="F1" s="43"/>
      <c r="G1" s="43"/>
      <c r="H1" s="43"/>
      <c r="I1" s="43"/>
      <c r="J1" s="43"/>
      <c r="K1" s="43"/>
      <c r="L1" s="43"/>
    </row>
    <row r="2" spans="1:13" s="43" customFormat="1" ht="38.25">
      <c r="A2" s="39" t="s">
        <v>0</v>
      </c>
      <c r="B2" s="40" t="s">
        <v>1</v>
      </c>
      <c r="C2" s="41" t="s">
        <v>2</v>
      </c>
      <c r="D2" s="42" t="s">
        <v>3</v>
      </c>
      <c r="E2" s="40" t="s">
        <v>4</v>
      </c>
      <c r="F2" s="42" t="s">
        <v>5</v>
      </c>
      <c r="G2" s="42" t="s">
        <v>6</v>
      </c>
      <c r="H2" s="42" t="s">
        <v>7</v>
      </c>
      <c r="I2" s="40" t="s">
        <v>8</v>
      </c>
      <c r="J2" s="42" t="s">
        <v>9</v>
      </c>
      <c r="K2" s="40" t="s">
        <v>10</v>
      </c>
      <c r="L2" s="42" t="s">
        <v>11</v>
      </c>
    </row>
    <row r="3" spans="1:13" s="38" customFormat="1" ht="14.1" customHeight="1">
      <c r="A3" s="39">
        <v>1</v>
      </c>
      <c r="B3" s="28" t="str">
        <f>ноябрь!B3</f>
        <v>Содержание общ.имущ.дома</v>
      </c>
      <c r="C3" s="45">
        <f>27554.01+4850.92</f>
        <v>32404.93</v>
      </c>
      <c r="D3" s="46">
        <f>C3+ноябрь!D3</f>
        <v>345289.73</v>
      </c>
      <c r="E3" s="45">
        <f>30268.15+4309.81</f>
        <v>34577.96</v>
      </c>
      <c r="F3" s="46">
        <f>E3+ноябрь!F3</f>
        <v>362783.15000000008</v>
      </c>
      <c r="G3" s="46">
        <f>E3-C3</f>
        <v>2173.0299999999988</v>
      </c>
      <c r="H3" s="46">
        <f>F3-D3</f>
        <v>17493.4200000001</v>
      </c>
      <c r="I3" s="45"/>
      <c r="J3" s="46">
        <f>I3+ноябрь!J3</f>
        <v>0</v>
      </c>
      <c r="K3" s="45"/>
      <c r="L3" s="46">
        <f>ноябрь!L3</f>
        <v>0</v>
      </c>
    </row>
    <row r="4" spans="1:13" s="38" customFormat="1" ht="14.1" customHeight="1">
      <c r="A4" s="39">
        <f>A3+1</f>
        <v>2</v>
      </c>
      <c r="B4" s="28" t="str">
        <f>ноябрь!B4</f>
        <v>Отопление</v>
      </c>
      <c r="C4" s="45">
        <f>93676.95+16491.95</f>
        <v>110168.9</v>
      </c>
      <c r="D4" s="46">
        <f>C4+ноябрь!D4</f>
        <v>756279.70000000007</v>
      </c>
      <c r="E4" s="45">
        <f>99976.22+14761</f>
        <v>114737.22</v>
      </c>
      <c r="F4" s="46">
        <f>E4+ноябрь!F4</f>
        <v>829866.54</v>
      </c>
      <c r="G4" s="46">
        <f t="shared" ref="G4:H22" si="0">E4-C4</f>
        <v>4568.320000000007</v>
      </c>
      <c r="H4" s="46">
        <f t="shared" si="0"/>
        <v>73586.839999999967</v>
      </c>
      <c r="I4" s="45"/>
      <c r="J4" s="46">
        <f>I4+ноябрь!J4</f>
        <v>0</v>
      </c>
      <c r="K4" s="45"/>
      <c r="L4" s="46">
        <f>ноябрь!L4</f>
        <v>0</v>
      </c>
      <c r="M4" s="44">
        <f>L4-J4</f>
        <v>0</v>
      </c>
    </row>
    <row r="5" spans="1:13" s="38" customFormat="1" ht="14.1" customHeight="1">
      <c r="A5" s="39">
        <f t="shared" ref="A5:A22" si="1">A4+1</f>
        <v>3</v>
      </c>
      <c r="B5" s="28" t="str">
        <f>ноябрь!B5</f>
        <v>Горячее водоснабжение</v>
      </c>
      <c r="C5" s="8">
        <f>0+0</f>
        <v>0</v>
      </c>
      <c r="D5" s="46">
        <f>C5+ноябрь!D5</f>
        <v>0</v>
      </c>
      <c r="E5" s="8">
        <f>0+0</f>
        <v>0</v>
      </c>
      <c r="F5" s="46">
        <f>E5+ноябрь!F5</f>
        <v>0</v>
      </c>
      <c r="G5" s="46">
        <f t="shared" si="0"/>
        <v>0</v>
      </c>
      <c r="H5" s="46">
        <f t="shared" si="0"/>
        <v>0</v>
      </c>
      <c r="I5" s="45"/>
      <c r="J5" s="46">
        <f>I5+ноябрь!J5</f>
        <v>0</v>
      </c>
      <c r="K5" s="45"/>
      <c r="L5" s="46">
        <f>ноябрь!L5</f>
        <v>0</v>
      </c>
    </row>
    <row r="6" spans="1:13" s="38" customFormat="1" ht="14.1" customHeight="1">
      <c r="A6" s="39">
        <f t="shared" si="1"/>
        <v>4</v>
      </c>
      <c r="B6" s="28" t="str">
        <f>ноябрь!B6</f>
        <v>Газ</v>
      </c>
      <c r="C6" s="8">
        <f>0+0</f>
        <v>0</v>
      </c>
      <c r="D6" s="46">
        <f>C6+ноябрь!D6</f>
        <v>0</v>
      </c>
      <c r="E6" s="8">
        <f>0+0</f>
        <v>0</v>
      </c>
      <c r="F6" s="46">
        <f>E6+ноябрь!F6</f>
        <v>0</v>
      </c>
      <c r="G6" s="46">
        <f t="shared" si="0"/>
        <v>0</v>
      </c>
      <c r="H6" s="46">
        <f t="shared" si="0"/>
        <v>0</v>
      </c>
      <c r="I6" s="45"/>
      <c r="J6" s="46">
        <f>I6+ноябрь!J6</f>
        <v>0</v>
      </c>
      <c r="K6" s="45"/>
      <c r="L6" s="46">
        <f>ноябрь!L6</f>
        <v>0</v>
      </c>
    </row>
    <row r="7" spans="1:13" s="38" customFormat="1" ht="14.1" customHeight="1">
      <c r="A7" s="39">
        <f t="shared" si="1"/>
        <v>5</v>
      </c>
      <c r="B7" s="28" t="str">
        <f>ноябрь!B7</f>
        <v>Уборка и сан.очистка зем.уч.</v>
      </c>
      <c r="C7" s="45">
        <f>4237.36+745.98</f>
        <v>4983.34</v>
      </c>
      <c r="D7" s="46">
        <f>C7+ноябрь!D7</f>
        <v>50595.59</v>
      </c>
      <c r="E7" s="45">
        <f>4648.85+653.79</f>
        <v>5302.64</v>
      </c>
      <c r="F7" s="46">
        <f>E7+ноябрь!F7</f>
        <v>52715.72</v>
      </c>
      <c r="G7" s="46">
        <f t="shared" si="0"/>
        <v>319.30000000000018</v>
      </c>
      <c r="H7" s="46">
        <f t="shared" si="0"/>
        <v>2120.1300000000047</v>
      </c>
      <c r="I7" s="45"/>
      <c r="J7" s="46">
        <f>I7+ноябрь!J7</f>
        <v>0</v>
      </c>
      <c r="K7" s="45"/>
      <c r="L7" s="46">
        <f>ноябрь!L7</f>
        <v>0</v>
      </c>
    </row>
    <row r="8" spans="1:13" s="38" customFormat="1" ht="14.1" customHeight="1">
      <c r="A8" s="39">
        <f t="shared" si="1"/>
        <v>6</v>
      </c>
      <c r="B8" s="28" t="str">
        <f>ноябрь!B8</f>
        <v>Электроснабжение (инд.потр)</v>
      </c>
      <c r="C8" s="45">
        <f>28568.76+6981.77</f>
        <v>35550.53</v>
      </c>
      <c r="D8" s="46">
        <f>C8+ноябрь!D8</f>
        <v>394274.47</v>
      </c>
      <c r="E8" s="45">
        <f>32788.12+6377.69</f>
        <v>39165.810000000005</v>
      </c>
      <c r="F8" s="46">
        <f>E8+ноябрь!F8</f>
        <v>419765.58999999997</v>
      </c>
      <c r="G8" s="46">
        <f t="shared" si="0"/>
        <v>3615.2800000000061</v>
      </c>
      <c r="H8" s="46">
        <f t="shared" si="0"/>
        <v>25491.119999999995</v>
      </c>
      <c r="I8" s="45"/>
      <c r="J8" s="46">
        <f>I8+ноябрь!J8</f>
        <v>0</v>
      </c>
      <c r="K8" s="45"/>
      <c r="L8" s="46">
        <f>ноябрь!L8</f>
        <v>0</v>
      </c>
    </row>
    <row r="9" spans="1:13" s="38" customFormat="1" ht="14.1" customHeight="1">
      <c r="A9" s="39">
        <f t="shared" si="1"/>
        <v>7</v>
      </c>
      <c r="B9" s="28" t="str">
        <f>ноябрь!B9</f>
        <v>Хол.вода</v>
      </c>
      <c r="C9" s="45">
        <f>29761.47+7178.48</f>
        <v>36939.949999999997</v>
      </c>
      <c r="D9" s="46">
        <f>C9+ноябрь!D9</f>
        <v>236491.58000000002</v>
      </c>
      <c r="E9" s="45">
        <f>34020.46+6747.33</f>
        <v>40767.79</v>
      </c>
      <c r="F9" s="46">
        <f>E9+ноябрь!F9</f>
        <v>228395.40000000002</v>
      </c>
      <c r="G9" s="46">
        <f t="shared" si="0"/>
        <v>3827.8400000000038</v>
      </c>
      <c r="H9" s="46">
        <f t="shared" si="0"/>
        <v>-8096.179999999993</v>
      </c>
      <c r="I9" s="45"/>
      <c r="J9" s="46">
        <f>I9+ноябрь!J9</f>
        <v>0</v>
      </c>
      <c r="K9" s="45"/>
      <c r="L9" s="46">
        <f>ноябрь!L9</f>
        <v>0</v>
      </c>
    </row>
    <row r="10" spans="1:13" s="38" customFormat="1" ht="14.1" customHeight="1">
      <c r="A10" s="39">
        <f t="shared" si="1"/>
        <v>8</v>
      </c>
      <c r="B10" s="28" t="str">
        <f>ноябрь!B10</f>
        <v>Канализир.х.воды</v>
      </c>
      <c r="C10" s="8">
        <f>0+0</f>
        <v>0</v>
      </c>
      <c r="D10" s="46">
        <f>C10+ноябрь!D10</f>
        <v>0</v>
      </c>
      <c r="E10" s="8">
        <f>0+0</f>
        <v>0</v>
      </c>
      <c r="F10" s="46">
        <f>E10+ноябрь!F10</f>
        <v>0</v>
      </c>
      <c r="G10" s="46">
        <f t="shared" si="0"/>
        <v>0</v>
      </c>
      <c r="H10" s="46">
        <f t="shared" si="0"/>
        <v>0</v>
      </c>
      <c r="I10" s="45"/>
      <c r="J10" s="46">
        <f>I10+ноябрь!J10</f>
        <v>0</v>
      </c>
      <c r="K10" s="45"/>
      <c r="L10" s="46">
        <f>ноябрь!L10</f>
        <v>0</v>
      </c>
    </row>
    <row r="11" spans="1:13" s="38" customFormat="1" ht="14.1" customHeight="1">
      <c r="A11" s="39">
        <f t="shared" si="1"/>
        <v>9</v>
      </c>
      <c r="B11" s="28" t="str">
        <f>ноябрь!B11</f>
        <v>Канализир.г.воды</v>
      </c>
      <c r="C11" s="8">
        <f>0+0</f>
        <v>0</v>
      </c>
      <c r="D11" s="46">
        <f>C11+ноябрь!D11</f>
        <v>0</v>
      </c>
      <c r="E11" s="8">
        <f>0+0</f>
        <v>0</v>
      </c>
      <c r="F11" s="46">
        <f>E11+ноябрь!F11</f>
        <v>0</v>
      </c>
      <c r="G11" s="46">
        <f t="shared" si="0"/>
        <v>0</v>
      </c>
      <c r="H11" s="46">
        <f t="shared" si="0"/>
        <v>0</v>
      </c>
      <c r="I11" s="45"/>
      <c r="J11" s="46">
        <f>I11+ноябрь!J11</f>
        <v>0</v>
      </c>
      <c r="K11" s="45"/>
      <c r="L11" s="46">
        <f>ноябрь!L11</f>
        <v>0</v>
      </c>
    </row>
    <row r="12" spans="1:13" s="38" customFormat="1" ht="14.1" customHeight="1">
      <c r="A12" s="39">
        <f t="shared" si="1"/>
        <v>10</v>
      </c>
      <c r="B12" s="28" t="str">
        <f>ноябрь!B12</f>
        <v>Тек.рем.общ.имущ.дома</v>
      </c>
      <c r="C12" s="45">
        <f>14378.98+2531.45</f>
        <v>16910.43</v>
      </c>
      <c r="D12" s="46">
        <f>C12+ноябрь!D12</f>
        <v>180977.42999999996</v>
      </c>
      <c r="E12" s="45">
        <f>15797.85+2256.81</f>
        <v>18054.66</v>
      </c>
      <c r="F12" s="46">
        <f>E12+ноябрь!F12</f>
        <v>190881.09</v>
      </c>
      <c r="G12" s="46">
        <f t="shared" si="0"/>
        <v>1144.2299999999996</v>
      </c>
      <c r="H12" s="46">
        <f t="shared" si="0"/>
        <v>9903.6600000000326</v>
      </c>
      <c r="I12" s="45"/>
      <c r="J12" s="46">
        <f>I12+ноябрь!J12</f>
        <v>0</v>
      </c>
      <c r="K12" s="45"/>
      <c r="L12" s="46">
        <f>ноябрь!L12</f>
        <v>0</v>
      </c>
    </row>
    <row r="13" spans="1:13" s="38" customFormat="1" ht="14.1" customHeight="1">
      <c r="A13" s="39">
        <f t="shared" si="1"/>
        <v>11</v>
      </c>
      <c r="B13" s="28" t="str">
        <f>ноябрь!B13</f>
        <v>Сод.и тек.рем.в/дом.газосн.</v>
      </c>
      <c r="C13" s="45">
        <f>1574.5+277.18</f>
        <v>1851.68</v>
      </c>
      <c r="D13" s="46">
        <f>C13+ноябрь!D13</f>
        <v>19960.580000000002</v>
      </c>
      <c r="E13" s="45">
        <f>1730.16+247.7</f>
        <v>1977.8600000000001</v>
      </c>
      <c r="F13" s="46">
        <f>E13+ноябрь!F13</f>
        <v>21084.11</v>
      </c>
      <c r="G13" s="46">
        <f t="shared" si="0"/>
        <v>126.18000000000006</v>
      </c>
      <c r="H13" s="46">
        <f t="shared" si="0"/>
        <v>1123.5299999999988</v>
      </c>
      <c r="I13" s="45"/>
      <c r="J13" s="46">
        <f>I13+ноябрь!J13</f>
        <v>0</v>
      </c>
      <c r="K13" s="45"/>
      <c r="L13" s="46">
        <f>ноябрь!L13</f>
        <v>0</v>
      </c>
    </row>
    <row r="14" spans="1:13" s="38" customFormat="1" ht="14.1" customHeight="1">
      <c r="A14" s="39">
        <f t="shared" si="1"/>
        <v>12</v>
      </c>
      <c r="B14" s="28" t="str">
        <f>ноябрь!B14</f>
        <v>Управление многокв.дом.</v>
      </c>
      <c r="C14" s="45">
        <f>5950.73+1047.65</f>
        <v>6998.3799999999992</v>
      </c>
      <c r="D14" s="46">
        <f>C14+ноябрь!D14</f>
        <v>73169.679999999993</v>
      </c>
      <c r="E14" s="45">
        <f>6527.71+926.88</f>
        <v>7454.59</v>
      </c>
      <c r="F14" s="46">
        <f>E14+ноябрь!F14</f>
        <v>76157.36</v>
      </c>
      <c r="G14" s="46">
        <f t="shared" si="0"/>
        <v>456.21000000000095</v>
      </c>
      <c r="H14" s="46">
        <f t="shared" si="0"/>
        <v>2987.6800000000076</v>
      </c>
      <c r="I14" s="45"/>
      <c r="J14" s="46">
        <f>I14+ноябрь!J14</f>
        <v>0</v>
      </c>
      <c r="K14" s="45"/>
      <c r="L14" s="46">
        <f>ноябрь!L14</f>
        <v>0</v>
      </c>
    </row>
    <row r="15" spans="1:13" s="38" customFormat="1" ht="14.1" customHeight="1">
      <c r="A15" s="39">
        <f t="shared" si="1"/>
        <v>13</v>
      </c>
      <c r="B15" s="28" t="str">
        <f>ноябрь!B15</f>
        <v>Водоотведение(кв)</v>
      </c>
      <c r="C15" s="45">
        <f>29761.47+7178.48</f>
        <v>36939.949999999997</v>
      </c>
      <c r="D15" s="46">
        <f>C15+ноябрь!D15</f>
        <v>198643.02000000002</v>
      </c>
      <c r="E15" s="45">
        <f>34020.44+6747.33</f>
        <v>40767.770000000004</v>
      </c>
      <c r="F15" s="46">
        <f>E15+ноябрь!F15</f>
        <v>214186.58000000002</v>
      </c>
      <c r="G15" s="46">
        <f t="shared" si="0"/>
        <v>3827.820000000007</v>
      </c>
      <c r="H15" s="46">
        <f t="shared" si="0"/>
        <v>15543.559999999998</v>
      </c>
      <c r="I15" s="45"/>
      <c r="J15" s="46">
        <f>I15+ноябрь!J15</f>
        <v>0</v>
      </c>
      <c r="K15" s="45"/>
      <c r="L15" s="46">
        <f>ноябрь!L15</f>
        <v>0</v>
      </c>
    </row>
    <row r="16" spans="1:13" s="38" customFormat="1" ht="14.1" customHeight="1">
      <c r="A16" s="39">
        <f t="shared" si="1"/>
        <v>14</v>
      </c>
      <c r="B16" s="28" t="str">
        <f>ноябрь!B16</f>
        <v>Эксплуатация общедом.ПУ</v>
      </c>
      <c r="C16" s="45">
        <f>162.04+28.53</f>
        <v>190.57</v>
      </c>
      <c r="D16" s="46">
        <f>C16+ноябрь!D16</f>
        <v>1960.1199999999997</v>
      </c>
      <c r="E16" s="45">
        <f>178.23+25.12</f>
        <v>203.35</v>
      </c>
      <c r="F16" s="46">
        <f>E16+ноябрь!F16</f>
        <v>2067.15</v>
      </c>
      <c r="G16" s="46">
        <f t="shared" si="0"/>
        <v>12.780000000000001</v>
      </c>
      <c r="H16" s="46">
        <f t="shared" si="0"/>
        <v>107.03000000000043</v>
      </c>
      <c r="I16" s="45"/>
      <c r="J16" s="46">
        <f>I16+ноябрь!J16</f>
        <v>0</v>
      </c>
      <c r="K16" s="45"/>
      <c r="L16" s="46">
        <f>ноябрь!L16</f>
        <v>0</v>
      </c>
    </row>
    <row r="17" spans="1:12" s="38" customFormat="1" ht="14.1" customHeight="1">
      <c r="A17" s="39">
        <f t="shared" si="1"/>
        <v>15</v>
      </c>
      <c r="B17" s="28" t="str">
        <f>ноябрь!B17</f>
        <v>Хол.водоснабж.(о/д нужды)</v>
      </c>
      <c r="C17" s="45">
        <f>294+52.08</f>
        <v>346.08</v>
      </c>
      <c r="D17" s="46">
        <f>C17+ноябрь!D17</f>
        <v>3072.9599999999996</v>
      </c>
      <c r="E17" s="45">
        <f>320.83+43.07</f>
        <v>363.9</v>
      </c>
      <c r="F17" s="46">
        <f>E17+ноябрь!F17</f>
        <v>3038.2200000000003</v>
      </c>
      <c r="G17" s="46">
        <f t="shared" si="0"/>
        <v>17.819999999999993</v>
      </c>
      <c r="H17" s="46">
        <f t="shared" si="0"/>
        <v>-34.739999999999327</v>
      </c>
      <c r="I17" s="45"/>
      <c r="J17" s="46">
        <f>I17+ноябрь!J17</f>
        <v>0</v>
      </c>
      <c r="K17" s="45"/>
      <c r="L17" s="46">
        <f>ноябрь!L17</f>
        <v>0</v>
      </c>
    </row>
    <row r="18" spans="1:12" s="38" customFormat="1" ht="14.1" customHeight="1">
      <c r="A18" s="39">
        <f t="shared" si="1"/>
        <v>16</v>
      </c>
      <c r="B18" s="28" t="str">
        <f>ноябрь!B18</f>
        <v>Водоотведение(о/д нужды)</v>
      </c>
      <c r="C18" s="8">
        <f>0+0</f>
        <v>0</v>
      </c>
      <c r="D18" s="46">
        <f>C18+ноябрь!D18</f>
        <v>37848.559999999998</v>
      </c>
      <c r="E18" s="8">
        <f>0+0</f>
        <v>0</v>
      </c>
      <c r="F18" s="46">
        <f>E18+ноябрь!F18</f>
        <v>14208.82</v>
      </c>
      <c r="G18" s="46">
        <f t="shared" si="0"/>
        <v>0</v>
      </c>
      <c r="H18" s="46">
        <f t="shared" si="0"/>
        <v>-23639.739999999998</v>
      </c>
      <c r="I18" s="45"/>
      <c r="J18" s="46">
        <f>I18+ноябрь!J18</f>
        <v>0</v>
      </c>
      <c r="K18" s="45"/>
      <c r="L18" s="46">
        <f>ноябрь!L18</f>
        <v>0</v>
      </c>
    </row>
    <row r="19" spans="1:12" s="38" customFormat="1" ht="14.1" customHeight="1">
      <c r="A19" s="39">
        <f t="shared" si="1"/>
        <v>17</v>
      </c>
      <c r="B19" s="28" t="str">
        <f>ноябрь!B19</f>
        <v>Отопление(о/д нужды)</v>
      </c>
      <c r="C19" s="8">
        <f>0+0</f>
        <v>0</v>
      </c>
      <c r="D19" s="46">
        <f>C19+ноябрь!D19</f>
        <v>0</v>
      </c>
      <c r="E19" s="8">
        <f>0+0</f>
        <v>0</v>
      </c>
      <c r="F19" s="46">
        <f>E19+ноябрь!F19</f>
        <v>0</v>
      </c>
      <c r="G19" s="46">
        <f t="shared" si="0"/>
        <v>0</v>
      </c>
      <c r="H19" s="46">
        <f t="shared" si="0"/>
        <v>0</v>
      </c>
      <c r="I19" s="45"/>
      <c r="J19" s="46">
        <f>I19+ноябрь!J19</f>
        <v>0</v>
      </c>
      <c r="K19" s="45"/>
      <c r="L19" s="46">
        <f>ноябрь!L19</f>
        <v>0</v>
      </c>
    </row>
    <row r="20" spans="1:12" s="38" customFormat="1" ht="14.1" customHeight="1">
      <c r="A20" s="39">
        <f t="shared" si="1"/>
        <v>18</v>
      </c>
      <c r="B20" s="28" t="str">
        <f>ноябрь!B20</f>
        <v>Электроснабжение(общед.нужды)</v>
      </c>
      <c r="C20" s="45">
        <f>76808.99+13270.38</f>
        <v>90079.37000000001</v>
      </c>
      <c r="D20" s="46">
        <f>C20+ноябрь!D20</f>
        <v>807583.39</v>
      </c>
      <c r="E20" s="45">
        <f>81689.05+18864.67</f>
        <v>100553.72</v>
      </c>
      <c r="F20" s="46">
        <f>E20+ноябрь!F20</f>
        <v>808739.37999999989</v>
      </c>
      <c r="G20" s="46">
        <f t="shared" si="0"/>
        <v>10474.349999999991</v>
      </c>
      <c r="H20" s="46">
        <f t="shared" si="0"/>
        <v>1155.9899999998743</v>
      </c>
      <c r="I20" s="45"/>
      <c r="J20" s="46">
        <f>I20+ноябрь!J20</f>
        <v>0</v>
      </c>
      <c r="K20" s="45"/>
      <c r="L20" s="46">
        <f>ноябрь!L20</f>
        <v>0</v>
      </c>
    </row>
    <row r="21" spans="1:12" s="38" customFormat="1" ht="14.1" customHeight="1">
      <c r="A21" s="39">
        <f t="shared" si="1"/>
        <v>19</v>
      </c>
      <c r="B21" s="28" t="str">
        <f>ноябрь!B21</f>
        <v>Горячее водоснабж.(о/д нужды)</v>
      </c>
      <c r="C21" s="8">
        <f>0+0</f>
        <v>0</v>
      </c>
      <c r="D21" s="46">
        <f>C21+ноябрь!D21</f>
        <v>0</v>
      </c>
      <c r="E21" s="8">
        <f>0+0</f>
        <v>0</v>
      </c>
      <c r="F21" s="46">
        <f>E21+ноябрь!F21</f>
        <v>0</v>
      </c>
      <c r="G21" s="46">
        <f t="shared" si="0"/>
        <v>0</v>
      </c>
      <c r="H21" s="46">
        <f t="shared" si="0"/>
        <v>0</v>
      </c>
      <c r="I21" s="45"/>
      <c r="J21" s="46">
        <f>I21+ноябрь!J21</f>
        <v>0</v>
      </c>
      <c r="K21" s="45"/>
      <c r="L21" s="46">
        <f>ноябрь!L21</f>
        <v>0</v>
      </c>
    </row>
    <row r="22" spans="1:12" s="38" customFormat="1" ht="14.1" customHeight="1">
      <c r="A22" s="39">
        <f t="shared" si="1"/>
        <v>20</v>
      </c>
      <c r="B22" s="28">
        <f>ноябрь!B22</f>
        <v>0</v>
      </c>
      <c r="C22" s="8">
        <f>0+0</f>
        <v>0</v>
      </c>
      <c r="D22" s="46">
        <f>C22+ноябрь!D22</f>
        <v>0</v>
      </c>
      <c r="E22" s="8">
        <f>0+0</f>
        <v>0</v>
      </c>
      <c r="F22" s="46">
        <f>E22+ноябрь!F22</f>
        <v>0</v>
      </c>
      <c r="G22" s="46">
        <f t="shared" si="0"/>
        <v>0</v>
      </c>
      <c r="H22" s="46">
        <f t="shared" si="0"/>
        <v>0</v>
      </c>
      <c r="I22" s="45"/>
      <c r="J22" s="46">
        <f>I22+ноябрь!J22</f>
        <v>0</v>
      </c>
      <c r="K22" s="45"/>
      <c r="L22" s="46">
        <f>ноябрь!L22</f>
        <v>0</v>
      </c>
    </row>
    <row r="23" spans="1:12" s="38" customFormat="1" ht="14.1" customHeight="1">
      <c r="A23" s="47"/>
      <c r="B23" s="48" t="s">
        <v>12</v>
      </c>
      <c r="C23" s="46">
        <f>SUM(C3:C22)</f>
        <v>373364.11</v>
      </c>
      <c r="D23" s="46">
        <f t="shared" ref="D23:K23" si="2">SUM(D3:D22)</f>
        <v>3106146.8100000005</v>
      </c>
      <c r="E23" s="46">
        <f>SUM(E3:E22)</f>
        <v>403927.27</v>
      </c>
      <c r="F23" s="46">
        <f t="shared" si="2"/>
        <v>3223889.11</v>
      </c>
      <c r="G23" s="46">
        <f t="shared" si="2"/>
        <v>30563.160000000011</v>
      </c>
      <c r="H23" s="46">
        <f t="shared" si="2"/>
        <v>117742.30000000002</v>
      </c>
      <c r="I23" s="46">
        <f t="shared" si="2"/>
        <v>0</v>
      </c>
      <c r="J23" s="46">
        <f t="shared" si="2"/>
        <v>0</v>
      </c>
      <c r="K23" s="46">
        <f t="shared" si="2"/>
        <v>0</v>
      </c>
      <c r="L23" s="46">
        <f>ноябрь!L23</f>
        <v>0</v>
      </c>
    </row>
    <row r="24" spans="1:12" ht="14.1" customHeight="1"/>
    <row r="25" spans="1:12" ht="14.1" customHeight="1">
      <c r="B25" s="56" t="s">
        <v>34</v>
      </c>
      <c r="C25" s="54">
        <f t="shared" ref="C25:H25" si="3">C3+C7+C12+C13+C14+C16</f>
        <v>63339.33</v>
      </c>
      <c r="D25" s="54">
        <f t="shared" si="3"/>
        <v>671953.12999999977</v>
      </c>
      <c r="E25" s="54">
        <f t="shared" si="3"/>
        <v>67571.06</v>
      </c>
      <c r="F25" s="54">
        <f t="shared" si="3"/>
        <v>705688.58000000007</v>
      </c>
      <c r="G25" s="54">
        <f t="shared" si="3"/>
        <v>4231.7299999999996</v>
      </c>
      <c r="H25" s="54">
        <f t="shared" si="3"/>
        <v>33735.450000000143</v>
      </c>
    </row>
    <row r="26" spans="1:12" ht="14.1" customHeight="1"/>
    <row r="27" spans="1:12" ht="14.1" customHeight="1"/>
    <row r="28" spans="1:12" ht="14.1" customHeight="1">
      <c r="B28" s="50" t="s">
        <v>35</v>
      </c>
      <c r="C28" s="51">
        <f>C9+C10+C11+C15+C17+C18+C22</f>
        <v>74225.98</v>
      </c>
      <c r="D28" s="51">
        <f t="shared" ref="D28:J28" si="4">D9+D10+D11+D15+D17+D18+D22</f>
        <v>476056.12000000005</v>
      </c>
      <c r="E28" s="51">
        <f t="shared" si="4"/>
        <v>81899.459999999992</v>
      </c>
      <c r="F28" s="51">
        <f t="shared" si="4"/>
        <v>459829.02</v>
      </c>
      <c r="G28" s="51">
        <f t="shared" si="4"/>
        <v>7673.4800000000105</v>
      </c>
      <c r="H28" s="51">
        <f t="shared" si="4"/>
        <v>-16227.099999999993</v>
      </c>
      <c r="I28" s="51">
        <f t="shared" si="4"/>
        <v>0</v>
      </c>
      <c r="J28" s="51">
        <f t="shared" si="4"/>
        <v>0</v>
      </c>
    </row>
    <row r="29" spans="1:12" ht="14.1" customHeight="1">
      <c r="B29" s="52" t="s">
        <v>36</v>
      </c>
      <c r="C29" s="53">
        <f>C8+C20</f>
        <v>125629.90000000001</v>
      </c>
      <c r="D29" s="53">
        <f>D8+D20</f>
        <v>1201857.8599999999</v>
      </c>
      <c r="E29" s="53">
        <f t="shared" ref="E29:H29" si="5">E8+E20</f>
        <v>139719.53</v>
      </c>
      <c r="F29" s="53">
        <f t="shared" si="5"/>
        <v>1228504.9699999997</v>
      </c>
      <c r="G29" s="53">
        <f t="shared" si="5"/>
        <v>14089.629999999997</v>
      </c>
      <c r="H29" s="53">
        <f t="shared" si="5"/>
        <v>26647.10999999987</v>
      </c>
      <c r="I29" s="53">
        <f t="shared" ref="I29:J29" si="6">I8+I20</f>
        <v>0</v>
      </c>
      <c r="J29" s="53">
        <f t="shared" si="6"/>
        <v>0</v>
      </c>
    </row>
    <row r="30" spans="1:12" ht="14.1" customHeight="1">
      <c r="B30" s="52" t="s">
        <v>37</v>
      </c>
      <c r="C30" s="53">
        <f>C4+C5+C19+C21</f>
        <v>110168.9</v>
      </c>
      <c r="D30" s="53">
        <f>D4+D5+D19+D21</f>
        <v>756279.70000000007</v>
      </c>
      <c r="E30" s="53">
        <f t="shared" ref="E30:H30" si="7">E4+E5+E19+E21</f>
        <v>114737.22</v>
      </c>
      <c r="F30" s="53">
        <f t="shared" si="7"/>
        <v>829866.54</v>
      </c>
      <c r="G30" s="53">
        <f t="shared" si="7"/>
        <v>4568.320000000007</v>
      </c>
      <c r="H30" s="53">
        <f t="shared" si="7"/>
        <v>73586.839999999967</v>
      </c>
      <c r="I30" s="53">
        <f t="shared" ref="I30:J30" si="8">I4+I5+I19+I21</f>
        <v>0</v>
      </c>
      <c r="J30" s="53">
        <f t="shared" si="8"/>
        <v>0</v>
      </c>
    </row>
    <row r="33" spans="3:4">
      <c r="C33" s="43">
        <v>312729.26</v>
      </c>
      <c r="D33" s="43">
        <v>341966.07</v>
      </c>
    </row>
    <row r="34" spans="3:4">
      <c r="C34" s="43">
        <v>60634.85</v>
      </c>
      <c r="D34" s="43">
        <v>61961.2</v>
      </c>
    </row>
    <row r="35" spans="3:4">
      <c r="C35" s="65">
        <f>C33+C34</f>
        <v>373364.11</v>
      </c>
      <c r="D35" s="65">
        <f>D33+D34</f>
        <v>403927.27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24"/>
  <sheetViews>
    <sheetView workbookViewId="0">
      <selection activeCell="D12" sqref="D12"/>
    </sheetView>
  </sheetViews>
  <sheetFormatPr defaultRowHeight="12.75"/>
  <cols>
    <col min="1" max="1" width="4.140625" customWidth="1"/>
    <col min="2" max="2" width="21" customWidth="1"/>
  </cols>
  <sheetData>
    <row r="3" spans="1:12">
      <c r="A3" s="1" t="s">
        <v>0</v>
      </c>
      <c r="B3" s="5" t="s">
        <v>1</v>
      </c>
      <c r="C3" s="4" t="s">
        <v>2</v>
      </c>
      <c r="D3" s="5" t="s">
        <v>3</v>
      </c>
      <c r="E3" s="6" t="s">
        <v>4</v>
      </c>
      <c r="F3" s="5" t="s">
        <v>5</v>
      </c>
      <c r="G3" s="5" t="s">
        <v>6</v>
      </c>
      <c r="H3" s="6" t="s">
        <v>7</v>
      </c>
      <c r="I3" s="6" t="s">
        <v>8</v>
      </c>
      <c r="J3" s="6" t="s">
        <v>9</v>
      </c>
      <c r="K3" s="5" t="s">
        <v>10</v>
      </c>
      <c r="L3" s="5" t="s">
        <v>11</v>
      </c>
    </row>
    <row r="4" spans="1:12">
      <c r="A4" s="1">
        <v>1</v>
      </c>
      <c r="B4" s="7" t="s">
        <v>14</v>
      </c>
      <c r="C4" s="3">
        <f>37433.35+20303.28</f>
        <v>57736.63</v>
      </c>
      <c r="D4" s="3" t="e">
        <f>#REF!+Январь!C4</f>
        <v>#REF!</v>
      </c>
      <c r="E4" s="2">
        <f>25078.04+5600.74</f>
        <v>30678.78</v>
      </c>
      <c r="F4" s="3" t="e">
        <f>#REF!+Январь!E4</f>
        <v>#REF!</v>
      </c>
      <c r="G4" s="3">
        <f>E4-C4</f>
        <v>-27057.85</v>
      </c>
      <c r="H4" s="2" t="e">
        <f>F4-D4</f>
        <v>#REF!</v>
      </c>
      <c r="I4" s="2"/>
      <c r="J4" s="2" t="e">
        <f>#REF!+Январь!I4</f>
        <v>#REF!</v>
      </c>
      <c r="K4" s="3"/>
      <c r="L4" s="3" t="e">
        <f>K4+#REF!</f>
        <v>#REF!</v>
      </c>
    </row>
    <row r="5" spans="1:12">
      <c r="A5" s="1">
        <f>A4+1</f>
        <v>2</v>
      </c>
      <c r="B5" s="7"/>
      <c r="C5" s="3"/>
      <c r="D5" s="3"/>
      <c r="E5" s="2"/>
      <c r="F5" s="3"/>
      <c r="G5" s="3"/>
      <c r="H5" s="2"/>
      <c r="I5" s="2"/>
      <c r="J5" s="2"/>
      <c r="K5" s="3"/>
      <c r="L5" s="3"/>
    </row>
    <row r="6" spans="1:12">
      <c r="A6" s="1">
        <f t="shared" ref="A6:A23" si="0">A5+1</f>
        <v>3</v>
      </c>
      <c r="B6" s="7"/>
      <c r="C6" s="3"/>
      <c r="D6" s="3"/>
      <c r="E6" s="2"/>
      <c r="F6" s="3"/>
      <c r="G6" s="3"/>
      <c r="H6" s="2"/>
      <c r="I6" s="2"/>
      <c r="J6" s="2"/>
      <c r="K6" s="3"/>
      <c r="L6" s="3"/>
    </row>
    <row r="7" spans="1:12">
      <c r="A7" s="1">
        <f t="shared" si="0"/>
        <v>4</v>
      </c>
      <c r="B7" s="7"/>
      <c r="C7" s="3"/>
      <c r="D7" s="3"/>
      <c r="E7" s="2"/>
      <c r="F7" s="3"/>
      <c r="G7" s="3"/>
      <c r="H7" s="2"/>
      <c r="I7" s="2"/>
      <c r="J7" s="2"/>
      <c r="K7" s="3"/>
      <c r="L7" s="3"/>
    </row>
    <row r="8" spans="1:12">
      <c r="A8" s="1">
        <f t="shared" si="0"/>
        <v>5</v>
      </c>
      <c r="B8" s="7"/>
      <c r="C8" s="3"/>
      <c r="D8" s="3"/>
      <c r="E8" s="2"/>
      <c r="F8" s="3"/>
      <c r="G8" s="3"/>
      <c r="H8" s="2"/>
      <c r="I8" s="2"/>
      <c r="J8" s="2"/>
      <c r="K8" s="3"/>
      <c r="L8" s="3"/>
    </row>
    <row r="9" spans="1:12">
      <c r="A9" s="1">
        <f t="shared" si="0"/>
        <v>6</v>
      </c>
      <c r="B9" s="7"/>
      <c r="C9" s="3"/>
      <c r="D9" s="3"/>
      <c r="E9" s="2"/>
      <c r="F9" s="3"/>
      <c r="G9" s="3"/>
      <c r="H9" s="2"/>
      <c r="I9" s="2"/>
      <c r="J9" s="2"/>
      <c r="K9" s="3"/>
      <c r="L9" s="3"/>
    </row>
    <row r="10" spans="1:12">
      <c r="A10" s="1">
        <f t="shared" si="0"/>
        <v>7</v>
      </c>
      <c r="B10" s="7"/>
      <c r="C10" s="3"/>
      <c r="D10" s="3"/>
      <c r="E10" s="2"/>
      <c r="F10" s="3"/>
      <c r="G10" s="3"/>
      <c r="H10" s="2"/>
      <c r="I10" s="2"/>
      <c r="J10" s="2"/>
      <c r="K10" s="3"/>
      <c r="L10" s="3"/>
    </row>
    <row r="11" spans="1:12">
      <c r="A11" s="1">
        <f t="shared" si="0"/>
        <v>8</v>
      </c>
      <c r="B11" s="7"/>
      <c r="C11" s="3"/>
      <c r="D11" s="3"/>
      <c r="E11" s="2"/>
      <c r="F11" s="3"/>
      <c r="G11" s="3"/>
      <c r="H11" s="2"/>
      <c r="I11" s="2"/>
      <c r="J11" s="2"/>
      <c r="K11" s="3"/>
      <c r="L11" s="3"/>
    </row>
    <row r="12" spans="1:12">
      <c r="A12" s="1">
        <f t="shared" si="0"/>
        <v>9</v>
      </c>
      <c r="B12" s="7"/>
      <c r="C12" s="3"/>
      <c r="D12" s="3"/>
      <c r="E12" s="2"/>
      <c r="F12" s="3"/>
      <c r="G12" s="3"/>
      <c r="H12" s="2"/>
      <c r="I12" s="2"/>
      <c r="J12" s="2"/>
      <c r="K12" s="3"/>
      <c r="L12" s="3"/>
    </row>
    <row r="13" spans="1:12">
      <c r="A13" s="1">
        <f t="shared" si="0"/>
        <v>10</v>
      </c>
      <c r="B13" s="7"/>
      <c r="C13" s="3"/>
      <c r="D13" s="3"/>
      <c r="E13" s="2"/>
      <c r="F13" s="3"/>
      <c r="G13" s="3"/>
      <c r="H13" s="2"/>
      <c r="I13" s="2"/>
      <c r="J13" s="2"/>
      <c r="K13" s="3"/>
      <c r="L13" s="3"/>
    </row>
    <row r="14" spans="1:12">
      <c r="A14" s="1">
        <f t="shared" si="0"/>
        <v>11</v>
      </c>
      <c r="B14" s="7"/>
      <c r="C14" s="3"/>
      <c r="D14" s="3"/>
      <c r="E14" s="2"/>
      <c r="F14" s="3"/>
      <c r="G14" s="3"/>
      <c r="H14" s="2"/>
      <c r="I14" s="2"/>
      <c r="J14" s="2"/>
      <c r="K14" s="3"/>
      <c r="L14" s="3"/>
    </row>
    <row r="15" spans="1:12">
      <c r="A15" s="1">
        <f t="shared" si="0"/>
        <v>12</v>
      </c>
      <c r="B15" s="7"/>
      <c r="C15" s="3"/>
      <c r="D15" s="3"/>
      <c r="E15" s="2"/>
      <c r="F15" s="3"/>
      <c r="G15" s="3"/>
      <c r="H15" s="2"/>
      <c r="I15" s="2"/>
      <c r="J15" s="2"/>
      <c r="K15" s="3"/>
      <c r="L15" s="3"/>
    </row>
    <row r="16" spans="1:12">
      <c r="A16" s="1">
        <f t="shared" si="0"/>
        <v>13</v>
      </c>
      <c r="B16" s="7"/>
      <c r="C16" s="3"/>
      <c r="D16" s="3"/>
      <c r="E16" s="2"/>
      <c r="F16" s="3"/>
      <c r="G16" s="3"/>
      <c r="H16" s="2"/>
      <c r="I16" s="2"/>
      <c r="J16" s="2"/>
      <c r="K16" s="3"/>
      <c r="L16" s="3"/>
    </row>
    <row r="17" spans="1:12">
      <c r="A17" s="1">
        <f t="shared" si="0"/>
        <v>14</v>
      </c>
      <c r="B17" s="7"/>
      <c r="C17" s="3"/>
      <c r="D17" s="3"/>
      <c r="E17" s="2"/>
      <c r="F17" s="3"/>
      <c r="G17" s="3"/>
      <c r="H17" s="2"/>
      <c r="I17" s="2"/>
      <c r="J17" s="2"/>
      <c r="K17" s="3"/>
      <c r="L17" s="3"/>
    </row>
    <row r="18" spans="1:12">
      <c r="A18" s="1">
        <f t="shared" si="0"/>
        <v>15</v>
      </c>
      <c r="B18" s="7"/>
      <c r="C18" s="3"/>
      <c r="D18" s="3"/>
      <c r="E18" s="2"/>
      <c r="F18" s="3"/>
      <c r="G18" s="3"/>
      <c r="H18" s="2"/>
      <c r="I18" s="2"/>
      <c r="J18" s="2"/>
      <c r="K18" s="3"/>
      <c r="L18" s="3"/>
    </row>
    <row r="19" spans="1:12">
      <c r="A19" s="1">
        <f t="shared" si="0"/>
        <v>16</v>
      </c>
      <c r="B19" s="7"/>
      <c r="C19" s="3"/>
      <c r="D19" s="3"/>
      <c r="E19" s="2"/>
      <c r="F19" s="3"/>
      <c r="G19" s="3"/>
      <c r="H19" s="2"/>
      <c r="I19" s="2"/>
      <c r="J19" s="2"/>
      <c r="K19" s="3"/>
      <c r="L19" s="3"/>
    </row>
    <row r="20" spans="1:12">
      <c r="A20" s="1">
        <f t="shared" si="0"/>
        <v>17</v>
      </c>
      <c r="B20" s="7"/>
      <c r="C20" s="3"/>
      <c r="D20" s="3"/>
      <c r="E20" s="2"/>
      <c r="F20" s="3"/>
      <c r="G20" s="3"/>
      <c r="H20" s="2"/>
      <c r="I20" s="2"/>
      <c r="J20" s="2"/>
      <c r="K20" s="3"/>
      <c r="L20" s="3"/>
    </row>
    <row r="21" spans="1:12">
      <c r="A21" s="1">
        <f t="shared" si="0"/>
        <v>18</v>
      </c>
      <c r="B21" s="7"/>
      <c r="C21" s="3"/>
      <c r="D21" s="3"/>
      <c r="E21" s="2"/>
      <c r="F21" s="3"/>
      <c r="G21" s="3"/>
      <c r="H21" s="2"/>
      <c r="I21" s="2"/>
      <c r="J21" s="2"/>
      <c r="K21" s="3"/>
      <c r="L21" s="3"/>
    </row>
    <row r="22" spans="1:12">
      <c r="A22" s="1">
        <f t="shared" si="0"/>
        <v>19</v>
      </c>
      <c r="B22" s="7"/>
      <c r="C22" s="3"/>
      <c r="D22" s="3"/>
      <c r="E22" s="2"/>
      <c r="F22" s="3"/>
      <c r="G22" s="3"/>
      <c r="H22" s="2"/>
      <c r="I22" s="2"/>
      <c r="J22" s="2"/>
      <c r="K22" s="3"/>
      <c r="L22" s="3"/>
    </row>
    <row r="23" spans="1:12">
      <c r="A23" s="1">
        <f t="shared" si="0"/>
        <v>20</v>
      </c>
      <c r="B23" s="7"/>
      <c r="C23" s="3"/>
      <c r="D23" s="3"/>
      <c r="E23" s="2"/>
      <c r="F23" s="3"/>
      <c r="G23" s="3"/>
      <c r="H23" s="2"/>
      <c r="I23" s="2"/>
      <c r="J23" s="2"/>
      <c r="K23" s="3"/>
      <c r="L23" s="3"/>
    </row>
    <row r="24" spans="1:12">
      <c r="A24" s="1"/>
      <c r="B24" s="7" t="s">
        <v>12</v>
      </c>
      <c r="C24" s="3">
        <f t="shared" ref="C24:L24" si="1">SUM(C4:C23)</f>
        <v>57736.63</v>
      </c>
      <c r="D24" s="3" t="e">
        <f t="shared" si="1"/>
        <v>#REF!</v>
      </c>
      <c r="E24" s="2">
        <f t="shared" si="1"/>
        <v>30678.78</v>
      </c>
      <c r="F24" s="3" t="e">
        <f t="shared" si="1"/>
        <v>#REF!</v>
      </c>
      <c r="G24" s="3">
        <f t="shared" si="1"/>
        <v>-27057.85</v>
      </c>
      <c r="H24" s="2" t="e">
        <f t="shared" si="1"/>
        <v>#REF!</v>
      </c>
      <c r="I24" s="2">
        <f t="shared" si="1"/>
        <v>0</v>
      </c>
      <c r="J24" s="2" t="e">
        <f t="shared" si="1"/>
        <v>#REF!</v>
      </c>
      <c r="K24" s="3">
        <f t="shared" si="1"/>
        <v>0</v>
      </c>
      <c r="L24" s="3" t="e">
        <f t="shared" si="1"/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workbookViewId="0">
      <selection activeCell="F36" sqref="F36"/>
    </sheetView>
  </sheetViews>
  <sheetFormatPr defaultRowHeight="12.75"/>
  <cols>
    <col min="1" max="1" width="4.140625" customWidth="1"/>
    <col min="2" max="2" width="30.28515625" customWidth="1"/>
    <col min="3" max="3" width="12.85546875" customWidth="1"/>
    <col min="4" max="4" width="10.5703125" customWidth="1"/>
    <col min="5" max="5" width="11.28515625" customWidth="1"/>
    <col min="6" max="6" width="12" customWidth="1"/>
    <col min="7" max="7" width="9.7109375" bestFit="1" customWidth="1"/>
    <col min="8" max="8" width="10.5703125" customWidth="1"/>
    <col min="9" max="9" width="10.140625" bestFit="1" customWidth="1"/>
    <col min="10" max="10" width="10.85546875" customWidth="1"/>
    <col min="11" max="11" width="10.140625" bestFit="1" customWidth="1"/>
    <col min="12" max="12" width="10" customWidth="1"/>
  </cols>
  <sheetData>
    <row r="2" spans="1:12" s="27" customFormat="1" ht="38.25">
      <c r="A2" s="21" t="s">
        <v>0</v>
      </c>
      <c r="B2" s="22" t="s">
        <v>1</v>
      </c>
      <c r="C2" s="23" t="s">
        <v>2</v>
      </c>
      <c r="D2" s="24" t="s">
        <v>3</v>
      </c>
      <c r="E2" s="25" t="s">
        <v>4</v>
      </c>
      <c r="F2" s="24" t="s">
        <v>5</v>
      </c>
      <c r="G2" s="24" t="s">
        <v>6</v>
      </c>
      <c r="H2" s="26" t="s">
        <v>7</v>
      </c>
      <c r="I2" s="25" t="s">
        <v>8</v>
      </c>
      <c r="J2" s="26" t="s">
        <v>9</v>
      </c>
      <c r="K2" s="22" t="s">
        <v>10</v>
      </c>
      <c r="L2" s="24" t="s">
        <v>11</v>
      </c>
    </row>
    <row r="3" spans="1:12" ht="15.75" customHeight="1">
      <c r="A3" s="1">
        <v>1</v>
      </c>
      <c r="B3" s="28" t="str">
        <f>Январь!B3</f>
        <v>Содержание общ.имущ.дома</v>
      </c>
      <c r="C3" s="8">
        <v>30172.03</v>
      </c>
      <c r="D3" s="12">
        <f>C3+Январь!D3</f>
        <v>60344.06</v>
      </c>
      <c r="E3" s="9">
        <v>28398.77</v>
      </c>
      <c r="F3" s="12">
        <f>E3+Январь!F3</f>
        <v>54863.15</v>
      </c>
      <c r="G3" s="12">
        <f>E3-C3</f>
        <v>-1773.2599999999984</v>
      </c>
      <c r="H3" s="13">
        <f>F3-D3</f>
        <v>-5480.9099999999962</v>
      </c>
      <c r="I3" s="9"/>
      <c r="J3" s="13">
        <f>I3+Январь!J3</f>
        <v>0</v>
      </c>
      <c r="K3" s="8"/>
      <c r="L3" s="12">
        <f>K3+Январь!L3</f>
        <v>0</v>
      </c>
    </row>
    <row r="4" spans="1:12">
      <c r="A4" s="1">
        <f>A3+1</f>
        <v>2</v>
      </c>
      <c r="B4" s="28" t="str">
        <f>Январь!B4</f>
        <v>Отопление</v>
      </c>
      <c r="C4" s="8">
        <v>106443.25</v>
      </c>
      <c r="D4" s="12">
        <f>C4+Январь!D4</f>
        <v>212886.5</v>
      </c>
      <c r="E4" s="9">
        <v>100203.41</v>
      </c>
      <c r="F4" s="12">
        <f>E4+Январь!F4</f>
        <v>192633.66999999998</v>
      </c>
      <c r="G4" s="12">
        <f t="shared" ref="G4:H22" si="0">E4-C4</f>
        <v>-6239.8399999999965</v>
      </c>
      <c r="H4" s="13">
        <f t="shared" si="0"/>
        <v>-20252.830000000016</v>
      </c>
      <c r="I4" s="9"/>
      <c r="J4" s="13">
        <f>I4+Январь!J4</f>
        <v>0</v>
      </c>
      <c r="K4" s="8"/>
      <c r="L4" s="12">
        <f>K4+Январь!L4</f>
        <v>0</v>
      </c>
    </row>
    <row r="5" spans="1:12">
      <c r="A5" s="1">
        <f t="shared" ref="A5:A22" si="1">A4+1</f>
        <v>3</v>
      </c>
      <c r="B5" s="28" t="str">
        <f>Январь!B5</f>
        <v>Горячее водоснабжение</v>
      </c>
      <c r="C5" s="8">
        <v>0</v>
      </c>
      <c r="D5" s="12">
        <f>C5+Январь!D5</f>
        <v>0</v>
      </c>
      <c r="E5" s="9">
        <v>0</v>
      </c>
      <c r="F5" s="12">
        <f>E5+Январь!F5</f>
        <v>0</v>
      </c>
      <c r="G5" s="12">
        <f t="shared" si="0"/>
        <v>0</v>
      </c>
      <c r="H5" s="13">
        <f t="shared" si="0"/>
        <v>0</v>
      </c>
      <c r="I5" s="9"/>
      <c r="J5" s="13">
        <f>I5+Январь!J5</f>
        <v>0</v>
      </c>
      <c r="K5" s="8"/>
      <c r="L5" s="12">
        <f>K5+Январь!L5</f>
        <v>0</v>
      </c>
    </row>
    <row r="6" spans="1:12">
      <c r="A6" s="1">
        <f t="shared" si="1"/>
        <v>4</v>
      </c>
      <c r="B6" s="28" t="str">
        <f>Январь!B6</f>
        <v>Газ</v>
      </c>
      <c r="C6" s="8">
        <v>0</v>
      </c>
      <c r="D6" s="12">
        <f>C6+Январь!D6</f>
        <v>0</v>
      </c>
      <c r="E6" s="9">
        <v>0</v>
      </c>
      <c r="F6" s="12">
        <f>E6+Январь!F6</f>
        <v>0</v>
      </c>
      <c r="G6" s="12">
        <f t="shared" si="0"/>
        <v>0</v>
      </c>
      <c r="H6" s="13">
        <f t="shared" si="0"/>
        <v>0</v>
      </c>
      <c r="I6" s="9"/>
      <c r="J6" s="13">
        <f>I6+Январь!J6</f>
        <v>0</v>
      </c>
      <c r="K6" s="8"/>
      <c r="L6" s="12">
        <f>K6+Январь!L6</f>
        <v>0</v>
      </c>
    </row>
    <row r="7" spans="1:12" ht="16.5" customHeight="1">
      <c r="A7" s="1">
        <f t="shared" si="1"/>
        <v>5</v>
      </c>
      <c r="B7" s="28" t="str">
        <f>Январь!B7</f>
        <v>Уборка и сан.очистка зем.уч.</v>
      </c>
      <c r="C7" s="8">
        <v>4139.1099999999997</v>
      </c>
      <c r="D7" s="12">
        <f>C7+Январь!D7</f>
        <v>8278.2199999999993</v>
      </c>
      <c r="E7" s="9">
        <v>3940.58</v>
      </c>
      <c r="F7" s="12">
        <f>E7+Январь!F7</f>
        <v>7621.37</v>
      </c>
      <c r="G7" s="12">
        <f t="shared" si="0"/>
        <v>-198.52999999999975</v>
      </c>
      <c r="H7" s="13">
        <f t="shared" si="0"/>
        <v>-656.84999999999945</v>
      </c>
      <c r="I7" s="9"/>
      <c r="J7" s="13">
        <f>I7+Январь!J7</f>
        <v>0</v>
      </c>
      <c r="K7" s="8"/>
      <c r="L7" s="12">
        <f>K7+Январь!L7</f>
        <v>0</v>
      </c>
    </row>
    <row r="8" spans="1:12" ht="18.75" customHeight="1">
      <c r="A8" s="1">
        <f t="shared" si="1"/>
        <v>6</v>
      </c>
      <c r="B8" s="28" t="str">
        <f>Январь!B8</f>
        <v>Электроснабжение (инд.потр)</v>
      </c>
      <c r="C8" s="8">
        <v>34961.49</v>
      </c>
      <c r="D8" s="12">
        <f>C8+Январь!D8</f>
        <v>70005.89</v>
      </c>
      <c r="E8" s="9">
        <v>33542.93</v>
      </c>
      <c r="F8" s="12">
        <f>E8+Январь!F8</f>
        <v>64915.119999999995</v>
      </c>
      <c r="G8" s="12">
        <f t="shared" si="0"/>
        <v>-1418.5599999999977</v>
      </c>
      <c r="H8" s="13">
        <f t="shared" si="0"/>
        <v>-5090.7700000000041</v>
      </c>
      <c r="I8" s="9"/>
      <c r="J8" s="13">
        <f>I8+Январь!J8</f>
        <v>0</v>
      </c>
      <c r="K8" s="8"/>
      <c r="L8" s="12">
        <f>K8+Январь!L8</f>
        <v>0</v>
      </c>
    </row>
    <row r="9" spans="1:12">
      <c r="A9" s="1">
        <f t="shared" si="1"/>
        <v>7</v>
      </c>
      <c r="B9" s="28" t="str">
        <f>Январь!B9</f>
        <v>Хол.вода</v>
      </c>
      <c r="C9" s="8">
        <v>14337.04</v>
      </c>
      <c r="D9" s="12">
        <f>C9+Январь!D9</f>
        <v>28647.03</v>
      </c>
      <c r="E9" s="9">
        <v>13767.71</v>
      </c>
      <c r="F9" s="12">
        <f>E9+Январь!F9</f>
        <v>26851.199999999997</v>
      </c>
      <c r="G9" s="12">
        <f t="shared" si="0"/>
        <v>-569.33000000000175</v>
      </c>
      <c r="H9" s="13">
        <f t="shared" si="0"/>
        <v>-1795.8300000000017</v>
      </c>
      <c r="I9" s="9"/>
      <c r="J9" s="13">
        <f>I9+Январь!J9</f>
        <v>0</v>
      </c>
      <c r="K9" s="8"/>
      <c r="L9" s="12">
        <f>K9+Январь!L9</f>
        <v>0</v>
      </c>
    </row>
    <row r="10" spans="1:12">
      <c r="A10" s="1">
        <f t="shared" si="1"/>
        <v>8</v>
      </c>
      <c r="B10" s="28" t="str">
        <f>Январь!B10</f>
        <v>Канализир.х.воды</v>
      </c>
      <c r="C10" s="8">
        <v>0</v>
      </c>
      <c r="D10" s="12">
        <f>C10+Январь!D10</f>
        <v>0</v>
      </c>
      <c r="E10" s="9">
        <v>0</v>
      </c>
      <c r="F10" s="12">
        <f>E10+Январь!F10</f>
        <v>0</v>
      </c>
      <c r="G10" s="12">
        <f t="shared" si="0"/>
        <v>0</v>
      </c>
      <c r="H10" s="13">
        <f t="shared" si="0"/>
        <v>0</v>
      </c>
      <c r="I10" s="9"/>
      <c r="J10" s="13">
        <f>I10+Январь!J10</f>
        <v>0</v>
      </c>
      <c r="K10" s="8"/>
      <c r="L10" s="12">
        <f>K10+Январь!L10</f>
        <v>0</v>
      </c>
    </row>
    <row r="11" spans="1:12">
      <c r="A11" s="1">
        <f t="shared" si="1"/>
        <v>9</v>
      </c>
      <c r="B11" s="28" t="str">
        <f>Январь!B11</f>
        <v>Канализир.г.воды</v>
      </c>
      <c r="C11" s="8">
        <v>0</v>
      </c>
      <c r="D11" s="12">
        <f>C11+Январь!D11</f>
        <v>0</v>
      </c>
      <c r="E11" s="9">
        <v>0</v>
      </c>
      <c r="F11" s="12">
        <f>E11+Январь!F11</f>
        <v>0</v>
      </c>
      <c r="G11" s="12">
        <f t="shared" si="0"/>
        <v>0</v>
      </c>
      <c r="H11" s="13">
        <f t="shared" si="0"/>
        <v>0</v>
      </c>
      <c r="I11" s="9"/>
      <c r="J11" s="13">
        <f>I11+Январь!J11</f>
        <v>0</v>
      </c>
      <c r="K11" s="8"/>
      <c r="L11" s="12">
        <f>K11+Январь!L11</f>
        <v>0</v>
      </c>
    </row>
    <row r="12" spans="1:12">
      <c r="A12" s="1">
        <f t="shared" si="1"/>
        <v>10</v>
      </c>
      <c r="B12" s="28" t="str">
        <f>Январь!B12</f>
        <v>Тек.рем.общ.имущ.дома</v>
      </c>
      <c r="C12" s="8">
        <v>15902.97</v>
      </c>
      <c r="D12" s="12">
        <f>C12+Январь!D12</f>
        <v>31805.94</v>
      </c>
      <c r="E12" s="9">
        <v>15140.15</v>
      </c>
      <c r="F12" s="12">
        <f>E12+Январь!F12</f>
        <v>29282.16</v>
      </c>
      <c r="G12" s="12">
        <f t="shared" si="0"/>
        <v>-762.81999999999971</v>
      </c>
      <c r="H12" s="13">
        <f t="shared" si="0"/>
        <v>-2523.7799999999988</v>
      </c>
      <c r="I12" s="9"/>
      <c r="J12" s="13">
        <f>I12+Январь!J12</f>
        <v>0</v>
      </c>
      <c r="K12" s="8"/>
      <c r="L12" s="12">
        <f>K12+Январь!L12</f>
        <v>0</v>
      </c>
    </row>
    <row r="13" spans="1:12" ht="11.25" customHeight="1">
      <c r="A13" s="1">
        <f t="shared" si="1"/>
        <v>11</v>
      </c>
      <c r="B13" s="28" t="str">
        <f>Январь!B13</f>
        <v>Сод.и тек.рем.в/дом.газосн.</v>
      </c>
      <c r="C13" s="8">
        <v>1770.1</v>
      </c>
      <c r="D13" s="12">
        <f>C13+Январь!D13</f>
        <v>3540.2</v>
      </c>
      <c r="E13" s="9">
        <v>1685.23</v>
      </c>
      <c r="F13" s="12">
        <f>E13+Январь!F13</f>
        <v>3259.3199999999997</v>
      </c>
      <c r="G13" s="12">
        <f t="shared" si="0"/>
        <v>-84.869999999999891</v>
      </c>
      <c r="H13" s="13">
        <f t="shared" si="0"/>
        <v>-280.88000000000011</v>
      </c>
      <c r="I13" s="9"/>
      <c r="J13" s="13">
        <f>I13+Январь!J13</f>
        <v>0</v>
      </c>
      <c r="K13" s="8"/>
      <c r="L13" s="12">
        <f>K13+Январь!L13</f>
        <v>0</v>
      </c>
    </row>
    <row r="14" spans="1:12" ht="14.25" customHeight="1">
      <c r="A14" s="1">
        <f t="shared" si="1"/>
        <v>12</v>
      </c>
      <c r="B14" s="28" t="str">
        <f>Январь!B14</f>
        <v>Управление многокв.дом.</v>
      </c>
      <c r="C14" s="8">
        <v>6235.88</v>
      </c>
      <c r="D14" s="12">
        <f>C14+Январь!D14</f>
        <v>12471.76</v>
      </c>
      <c r="E14" s="9">
        <v>5935.54</v>
      </c>
      <c r="F14" s="12">
        <f>E14+Январь!F14</f>
        <v>11480.89</v>
      </c>
      <c r="G14" s="12">
        <f t="shared" si="0"/>
        <v>-300.34000000000015</v>
      </c>
      <c r="H14" s="13">
        <f t="shared" si="0"/>
        <v>-990.8700000000008</v>
      </c>
      <c r="I14" s="9"/>
      <c r="J14" s="13">
        <f>I14+Январь!J14</f>
        <v>0</v>
      </c>
      <c r="K14" s="8"/>
      <c r="L14" s="12">
        <f>K14+Январь!L14</f>
        <v>0</v>
      </c>
    </row>
    <row r="15" spans="1:12">
      <c r="A15" s="1">
        <f t="shared" si="1"/>
        <v>13</v>
      </c>
      <c r="B15" s="28" t="str">
        <f>Январь!B15</f>
        <v>Водоотведение(кв)</v>
      </c>
      <c r="C15" s="8">
        <v>14337.04</v>
      </c>
      <c r="D15" s="12">
        <f>C15+Январь!D15</f>
        <v>28647.03</v>
      </c>
      <c r="E15" s="9">
        <v>13767.71</v>
      </c>
      <c r="F15" s="12">
        <f>E15+Январь!F15</f>
        <v>26851.199999999997</v>
      </c>
      <c r="G15" s="12">
        <f t="shared" si="0"/>
        <v>-569.33000000000175</v>
      </c>
      <c r="H15" s="13">
        <f t="shared" si="0"/>
        <v>-1795.8300000000017</v>
      </c>
      <c r="I15" s="9"/>
      <c r="J15" s="13">
        <f>I15+Январь!J15</f>
        <v>0</v>
      </c>
      <c r="K15" s="8"/>
      <c r="L15" s="12">
        <f>K15+Январь!L15</f>
        <v>0</v>
      </c>
    </row>
    <row r="16" spans="1:12" ht="15" customHeight="1">
      <c r="A16" s="1">
        <f t="shared" si="1"/>
        <v>14</v>
      </c>
      <c r="B16" s="28" t="str">
        <f>Январь!B16</f>
        <v>Эксплуатация общедом.ПУ</v>
      </c>
      <c r="C16" s="8">
        <v>163.34</v>
      </c>
      <c r="D16" s="12">
        <f>C16+Январь!D16</f>
        <v>326.68</v>
      </c>
      <c r="E16" s="9">
        <v>155.58000000000001</v>
      </c>
      <c r="F16" s="12">
        <f>E16+Январь!F16</f>
        <v>300.83000000000004</v>
      </c>
      <c r="G16" s="12">
        <f t="shared" si="0"/>
        <v>-7.7599999999999909</v>
      </c>
      <c r="H16" s="13">
        <f t="shared" si="0"/>
        <v>-25.849999999999966</v>
      </c>
      <c r="I16" s="9"/>
      <c r="J16" s="13">
        <f>I16+Январь!J16</f>
        <v>0</v>
      </c>
      <c r="K16" s="8"/>
      <c r="L16" s="12">
        <f>K16+Январь!L16</f>
        <v>0</v>
      </c>
    </row>
    <row r="17" spans="1:12" ht="17.25" customHeight="1">
      <c r="A17" s="1">
        <f t="shared" si="1"/>
        <v>15</v>
      </c>
      <c r="B17" s="28" t="str">
        <f>Январь!B17</f>
        <v>Хол.водоснабж.(о/д нужды)</v>
      </c>
      <c r="C17" s="8">
        <v>170.5</v>
      </c>
      <c r="D17" s="12">
        <f>C17+Январь!D17</f>
        <v>341</v>
      </c>
      <c r="E17" s="9">
        <v>161.96</v>
      </c>
      <c r="F17" s="12">
        <f>E17+Январь!F17</f>
        <v>313.09000000000003</v>
      </c>
      <c r="G17" s="12">
        <f t="shared" si="0"/>
        <v>-8.539999999999992</v>
      </c>
      <c r="H17" s="13">
        <f t="shared" si="0"/>
        <v>-27.909999999999968</v>
      </c>
      <c r="I17" s="9"/>
      <c r="J17" s="13">
        <f>I17+Январь!J17</f>
        <v>0</v>
      </c>
      <c r="K17" s="8"/>
      <c r="L17" s="12">
        <f>K17+Январь!L17</f>
        <v>0</v>
      </c>
    </row>
    <row r="18" spans="1:12" ht="15.75" customHeight="1">
      <c r="A18" s="1">
        <f t="shared" si="1"/>
        <v>16</v>
      </c>
      <c r="B18" s="28" t="str">
        <f>Январь!B18</f>
        <v>Водоотведение(о/д нужды)</v>
      </c>
      <c r="C18" s="8">
        <v>0</v>
      </c>
      <c r="D18" s="12">
        <f>C18+Январь!D18</f>
        <v>0</v>
      </c>
      <c r="E18" s="9">
        <v>0</v>
      </c>
      <c r="F18" s="12">
        <f>E18+Январь!F18</f>
        <v>0</v>
      </c>
      <c r="G18" s="12">
        <f t="shared" si="0"/>
        <v>0</v>
      </c>
      <c r="H18" s="13">
        <f t="shared" si="0"/>
        <v>0</v>
      </c>
      <c r="I18" s="9"/>
      <c r="J18" s="13">
        <f>I18+Январь!J18</f>
        <v>0</v>
      </c>
      <c r="K18" s="8"/>
      <c r="L18" s="12">
        <f>K18+Январь!L18</f>
        <v>0</v>
      </c>
    </row>
    <row r="19" spans="1:12">
      <c r="A19" s="1">
        <f t="shared" si="1"/>
        <v>17</v>
      </c>
      <c r="B19" s="28" t="str">
        <f>Январь!B19</f>
        <v>Отопление(о/д нужды)</v>
      </c>
      <c r="C19" s="8">
        <v>0</v>
      </c>
      <c r="D19" s="12">
        <f>C19+Январь!D19</f>
        <v>0</v>
      </c>
      <c r="E19" s="9">
        <v>0</v>
      </c>
      <c r="F19" s="12">
        <f>E19+Январь!F19</f>
        <v>0</v>
      </c>
      <c r="G19" s="12">
        <f t="shared" si="0"/>
        <v>0</v>
      </c>
      <c r="H19" s="13">
        <f t="shared" si="0"/>
        <v>0</v>
      </c>
      <c r="I19" s="9"/>
      <c r="J19" s="13">
        <f>I19+Январь!J19</f>
        <v>0</v>
      </c>
      <c r="K19" s="8"/>
      <c r="L19" s="12">
        <f>K19+Январь!L19</f>
        <v>0</v>
      </c>
    </row>
    <row r="20" spans="1:12" ht="15.75" customHeight="1">
      <c r="A20" s="1">
        <f t="shared" si="1"/>
        <v>18</v>
      </c>
      <c r="B20" s="28" t="str">
        <f>Январь!B20</f>
        <v>Электроснабжение(общед.нужды)</v>
      </c>
      <c r="C20" s="8">
        <v>79384.37</v>
      </c>
      <c r="D20" s="12">
        <f>C20+Январь!D20</f>
        <v>80075.12999999999</v>
      </c>
      <c r="E20" s="9">
        <v>20453.05</v>
      </c>
      <c r="F20" s="12">
        <f>E20+Январь!F20</f>
        <v>76830.44</v>
      </c>
      <c r="G20" s="12">
        <f t="shared" si="0"/>
        <v>-58931.319999999992</v>
      </c>
      <c r="H20" s="13">
        <f t="shared" si="0"/>
        <v>-3244.6899999999878</v>
      </c>
      <c r="I20" s="9"/>
      <c r="J20" s="13">
        <f>I20+Январь!J20</f>
        <v>0</v>
      </c>
      <c r="K20" s="8"/>
      <c r="L20" s="12">
        <f>K20+Январь!L20</f>
        <v>0</v>
      </c>
    </row>
    <row r="21" spans="1:12" ht="13.5" customHeight="1">
      <c r="A21" s="1">
        <f t="shared" si="1"/>
        <v>19</v>
      </c>
      <c r="B21" s="28" t="str">
        <f>Январь!B21</f>
        <v>Горячее водоснабж.(о/д нужды)</v>
      </c>
      <c r="C21" s="8">
        <v>0</v>
      </c>
      <c r="D21" s="12">
        <f>C21+Январь!D21</f>
        <v>0</v>
      </c>
      <c r="E21" s="9">
        <v>0</v>
      </c>
      <c r="F21" s="12">
        <f>E21+Январь!F21</f>
        <v>0</v>
      </c>
      <c r="G21" s="12">
        <f t="shared" si="0"/>
        <v>0</v>
      </c>
      <c r="H21" s="13">
        <f t="shared" si="0"/>
        <v>0</v>
      </c>
      <c r="I21" s="9"/>
      <c r="J21" s="13">
        <f>I21+Январь!J21</f>
        <v>0</v>
      </c>
      <c r="K21" s="8"/>
      <c r="L21" s="12">
        <f>K21+Январь!L21</f>
        <v>0</v>
      </c>
    </row>
    <row r="22" spans="1:12" ht="19.5" customHeight="1">
      <c r="A22" s="1">
        <f t="shared" si="1"/>
        <v>20</v>
      </c>
      <c r="B22" s="28">
        <f>Январь!B22</f>
        <v>0</v>
      </c>
      <c r="C22" s="8">
        <v>0</v>
      </c>
      <c r="D22" s="12">
        <f>C22+Январь!D22</f>
        <v>0</v>
      </c>
      <c r="E22" s="9">
        <v>0</v>
      </c>
      <c r="F22" s="12">
        <f>E22+Январь!F22</f>
        <v>0</v>
      </c>
      <c r="G22" s="12">
        <f t="shared" si="0"/>
        <v>0</v>
      </c>
      <c r="H22" s="13">
        <f t="shared" si="0"/>
        <v>0</v>
      </c>
      <c r="I22" s="9"/>
      <c r="J22" s="13">
        <f>I22+Январь!J22</f>
        <v>0</v>
      </c>
      <c r="K22" s="8"/>
      <c r="L22" s="12">
        <f>K22+Январь!L22</f>
        <v>0</v>
      </c>
    </row>
    <row r="23" spans="1:12">
      <c r="A23" s="18"/>
      <c r="B23" s="17" t="s">
        <v>12</v>
      </c>
      <c r="C23" s="12">
        <f t="shared" ref="C23:L23" si="2">SUM(C3:C22)</f>
        <v>308017.12</v>
      </c>
      <c r="D23" s="12">
        <f t="shared" si="2"/>
        <v>537369.43999999994</v>
      </c>
      <c r="E23" s="13">
        <f t="shared" si="2"/>
        <v>237152.61999999997</v>
      </c>
      <c r="F23" s="12">
        <f t="shared" si="2"/>
        <v>495202.44</v>
      </c>
      <c r="G23" s="12">
        <f t="shared" si="2"/>
        <v>-70864.499999999985</v>
      </c>
      <c r="H23" s="13">
        <f t="shared" si="2"/>
        <v>-42167.000000000007</v>
      </c>
      <c r="I23" s="13">
        <f t="shared" si="2"/>
        <v>0</v>
      </c>
      <c r="J23" s="13">
        <f t="shared" si="2"/>
        <v>0</v>
      </c>
      <c r="K23" s="12">
        <f t="shared" si="2"/>
        <v>0</v>
      </c>
      <c r="L23" s="12">
        <f t="shared" si="2"/>
        <v>0</v>
      </c>
    </row>
    <row r="24" spans="1:12" ht="12" customHeight="1"/>
    <row r="25" spans="1:12" hidden="1"/>
    <row r="26" spans="1:12" hidden="1"/>
    <row r="27" spans="1:12" hidden="1"/>
    <row r="28" spans="1:12">
      <c r="B28" s="1" t="s">
        <v>35</v>
      </c>
      <c r="C28" s="9">
        <f>C9+C10+C11+C15+C17+C18+C22</f>
        <v>28844.58</v>
      </c>
      <c r="D28" s="9">
        <f t="shared" ref="D28:J28" si="3">D9+D10+D11+D15+D17+D18+D22</f>
        <v>57635.06</v>
      </c>
      <c r="E28" s="9">
        <f t="shared" si="3"/>
        <v>27697.379999999997</v>
      </c>
      <c r="F28" s="9">
        <f t="shared" si="3"/>
        <v>54015.489999999991</v>
      </c>
      <c r="G28" s="9">
        <f t="shared" si="3"/>
        <v>-1147.2000000000035</v>
      </c>
      <c r="H28" s="9">
        <f t="shared" si="3"/>
        <v>-3619.5700000000033</v>
      </c>
      <c r="I28" s="9">
        <f t="shared" si="3"/>
        <v>0</v>
      </c>
      <c r="J28" s="9">
        <f t="shared" si="3"/>
        <v>0</v>
      </c>
    </row>
    <row r="29" spans="1:12">
      <c r="B29" s="1" t="s">
        <v>36</v>
      </c>
      <c r="C29" s="9">
        <f>C8+C20</f>
        <v>114345.85999999999</v>
      </c>
      <c r="D29" s="9">
        <f t="shared" ref="D29:J29" si="4">D8+D20</f>
        <v>150081.01999999999</v>
      </c>
      <c r="E29" s="9">
        <f t="shared" si="4"/>
        <v>53995.979999999996</v>
      </c>
      <c r="F29" s="9">
        <f t="shared" si="4"/>
        <v>141745.56</v>
      </c>
      <c r="G29" s="9">
        <f t="shared" si="4"/>
        <v>-60349.87999999999</v>
      </c>
      <c r="H29" s="9">
        <f t="shared" si="4"/>
        <v>-8335.4599999999919</v>
      </c>
      <c r="I29" s="9">
        <f t="shared" si="4"/>
        <v>0</v>
      </c>
      <c r="J29" s="9">
        <f t="shared" si="4"/>
        <v>0</v>
      </c>
    </row>
    <row r="30" spans="1:12">
      <c r="B30" s="1" t="s">
        <v>37</v>
      </c>
      <c r="C30" s="9">
        <f>C4+C5+C21+C19</f>
        <v>106443.25</v>
      </c>
      <c r="D30" s="9">
        <f t="shared" ref="D30:J30" si="5">D4+D5+D21+D19</f>
        <v>212886.5</v>
      </c>
      <c r="E30" s="9">
        <f t="shared" si="5"/>
        <v>100203.41</v>
      </c>
      <c r="F30" s="9">
        <f t="shared" si="5"/>
        <v>192633.66999999998</v>
      </c>
      <c r="G30" s="9">
        <f t="shared" si="5"/>
        <v>-6239.8399999999965</v>
      </c>
      <c r="H30" s="9">
        <f t="shared" si="5"/>
        <v>-20252.830000000016</v>
      </c>
      <c r="I30" s="9">
        <f t="shared" si="5"/>
        <v>0</v>
      </c>
      <c r="J30" s="9">
        <f t="shared" si="5"/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7"/>
  <sheetViews>
    <sheetView workbookViewId="0">
      <selection activeCell="D38" sqref="D38"/>
    </sheetView>
  </sheetViews>
  <sheetFormatPr defaultRowHeight="12.75"/>
  <cols>
    <col min="1" max="1" width="3.5703125" customWidth="1"/>
    <col min="2" max="2" width="32.28515625" customWidth="1"/>
    <col min="3" max="3" width="10" customWidth="1"/>
    <col min="4" max="4" width="11.7109375" customWidth="1"/>
    <col min="5" max="5" width="10.5703125" customWidth="1"/>
    <col min="6" max="6" width="11" customWidth="1"/>
    <col min="7" max="7" width="11.140625" customWidth="1"/>
    <col min="8" max="8" width="11.7109375" customWidth="1"/>
    <col min="9" max="9" width="10.5703125" customWidth="1"/>
    <col min="10" max="10" width="10.42578125" customWidth="1"/>
    <col min="11" max="11" width="10.5703125" customWidth="1"/>
    <col min="12" max="12" width="11.7109375" customWidth="1"/>
  </cols>
  <sheetData>
    <row r="2" spans="1:12" s="27" customFormat="1" ht="38.25">
      <c r="A2" s="21" t="s">
        <v>0</v>
      </c>
      <c r="B2" s="22" t="s">
        <v>1</v>
      </c>
      <c r="C2" s="23" t="s">
        <v>2</v>
      </c>
      <c r="D2" s="24" t="s">
        <v>3</v>
      </c>
      <c r="E2" s="25" t="s">
        <v>4</v>
      </c>
      <c r="F2" s="24" t="s">
        <v>5</v>
      </c>
      <c r="G2" s="24" t="s">
        <v>6</v>
      </c>
      <c r="H2" s="26" t="s">
        <v>7</v>
      </c>
      <c r="I2" s="25" t="s">
        <v>8</v>
      </c>
      <c r="J2" s="26" t="s">
        <v>9</v>
      </c>
      <c r="K2" s="22" t="s">
        <v>10</v>
      </c>
      <c r="L2" s="24" t="s">
        <v>11</v>
      </c>
    </row>
    <row r="3" spans="1:12">
      <c r="A3" s="1">
        <v>1</v>
      </c>
      <c r="B3" s="28" t="str">
        <f>февраль!B3</f>
        <v>Содержание общ.имущ.дома</v>
      </c>
      <c r="C3" s="8">
        <v>30172.03</v>
      </c>
      <c r="D3" s="12">
        <f>C3+февраль!D3</f>
        <v>90516.09</v>
      </c>
      <c r="E3" s="9">
        <v>25662.98</v>
      </c>
      <c r="F3" s="12">
        <f>E3+февраль!F3</f>
        <v>80526.13</v>
      </c>
      <c r="G3" s="12">
        <f>E3-C3</f>
        <v>-4509.0499999999993</v>
      </c>
      <c r="H3" s="13">
        <f>F3-D3</f>
        <v>-9989.9599999999919</v>
      </c>
      <c r="I3" s="9"/>
      <c r="J3" s="13">
        <f>I3+февраль!J3</f>
        <v>0</v>
      </c>
      <c r="K3" s="8"/>
      <c r="L3" s="12">
        <f>K3+февраль!L3</f>
        <v>0</v>
      </c>
    </row>
    <row r="4" spans="1:12">
      <c r="A4" s="1">
        <f>A3+1</f>
        <v>2</v>
      </c>
      <c r="B4" s="28" t="str">
        <f>февраль!B4</f>
        <v>Отопление</v>
      </c>
      <c r="C4" s="8">
        <v>106443.25</v>
      </c>
      <c r="D4" s="12">
        <f>C4+февраль!D4</f>
        <v>319329.75</v>
      </c>
      <c r="E4" s="9">
        <v>90627.7</v>
      </c>
      <c r="F4" s="12">
        <f>E4+февраль!F4</f>
        <v>283261.37</v>
      </c>
      <c r="G4" s="12">
        <f t="shared" ref="G4:H22" si="0">E4-C4</f>
        <v>-15815.550000000003</v>
      </c>
      <c r="H4" s="13">
        <f t="shared" si="0"/>
        <v>-36068.380000000005</v>
      </c>
      <c r="I4" s="9"/>
      <c r="J4" s="13">
        <f>I4+февраль!J4</f>
        <v>0</v>
      </c>
      <c r="K4" s="8"/>
      <c r="L4" s="12">
        <f>K4+февраль!L4</f>
        <v>0</v>
      </c>
    </row>
    <row r="5" spans="1:12">
      <c r="A5" s="1">
        <f t="shared" ref="A5:A22" si="1">A4+1</f>
        <v>3</v>
      </c>
      <c r="B5" s="28" t="str">
        <f>февраль!B5</f>
        <v>Горячее водоснабжение</v>
      </c>
      <c r="C5" s="8">
        <v>0</v>
      </c>
      <c r="D5" s="12">
        <f>C5+февраль!D5</f>
        <v>0</v>
      </c>
      <c r="E5" s="9">
        <v>0</v>
      </c>
      <c r="F5" s="12">
        <f>E5+февраль!F5</f>
        <v>0</v>
      </c>
      <c r="G5" s="12">
        <f t="shared" si="0"/>
        <v>0</v>
      </c>
      <c r="H5" s="13">
        <f t="shared" si="0"/>
        <v>0</v>
      </c>
      <c r="I5" s="9"/>
      <c r="J5" s="13">
        <f>I5+февраль!J5</f>
        <v>0</v>
      </c>
      <c r="K5" s="8"/>
      <c r="L5" s="12">
        <f>K5+февраль!L5</f>
        <v>0</v>
      </c>
    </row>
    <row r="6" spans="1:12">
      <c r="A6" s="1">
        <f t="shared" si="1"/>
        <v>4</v>
      </c>
      <c r="B6" s="28" t="str">
        <f>февраль!B6</f>
        <v>Газ</v>
      </c>
      <c r="C6" s="8">
        <v>0</v>
      </c>
      <c r="D6" s="12">
        <f>C6+февраль!D6</f>
        <v>0</v>
      </c>
      <c r="E6" s="9">
        <v>0</v>
      </c>
      <c r="F6" s="12">
        <f>E6+февраль!F6</f>
        <v>0</v>
      </c>
      <c r="G6" s="12">
        <f t="shared" si="0"/>
        <v>0</v>
      </c>
      <c r="H6" s="13">
        <f t="shared" si="0"/>
        <v>0</v>
      </c>
      <c r="I6" s="9"/>
      <c r="J6" s="13">
        <f>I6+февраль!J6</f>
        <v>0</v>
      </c>
      <c r="K6" s="8"/>
      <c r="L6" s="12">
        <f>K6+февраль!L6</f>
        <v>0</v>
      </c>
    </row>
    <row r="7" spans="1:12" ht="21.75" customHeight="1">
      <c r="A7" s="1">
        <f t="shared" si="1"/>
        <v>5</v>
      </c>
      <c r="B7" s="28" t="str">
        <f>февраль!B7</f>
        <v>Уборка и сан.очистка зем.уч.</v>
      </c>
      <c r="C7" s="8">
        <v>4139.1099999999997</v>
      </c>
      <c r="D7" s="12">
        <f>C7+февраль!D7</f>
        <v>12417.329999999998</v>
      </c>
      <c r="E7" s="9">
        <v>3525.6</v>
      </c>
      <c r="F7" s="12">
        <f>E7+февраль!F7</f>
        <v>11146.97</v>
      </c>
      <c r="G7" s="12">
        <f t="shared" si="0"/>
        <v>-613.50999999999976</v>
      </c>
      <c r="H7" s="13">
        <f t="shared" si="0"/>
        <v>-1270.3599999999988</v>
      </c>
      <c r="I7" s="9"/>
      <c r="J7" s="13">
        <f>I7+февраль!J7</f>
        <v>0</v>
      </c>
      <c r="K7" s="8"/>
      <c r="L7" s="12">
        <f>K7+февраль!L7</f>
        <v>0</v>
      </c>
    </row>
    <row r="8" spans="1:12" ht="15.75" customHeight="1">
      <c r="A8" s="1">
        <f t="shared" si="1"/>
        <v>6</v>
      </c>
      <c r="B8" s="28" t="str">
        <f>февраль!B8</f>
        <v>Электроснабжение (инд.потр)</v>
      </c>
      <c r="C8" s="8">
        <v>35335.68</v>
      </c>
      <c r="D8" s="12">
        <f>C8+февраль!D8</f>
        <v>105341.57</v>
      </c>
      <c r="E8" s="9">
        <v>29834.78</v>
      </c>
      <c r="F8" s="12">
        <f>E8+февраль!F8</f>
        <v>94749.9</v>
      </c>
      <c r="G8" s="12">
        <f t="shared" si="0"/>
        <v>-5500.9000000000015</v>
      </c>
      <c r="H8" s="13">
        <f t="shared" si="0"/>
        <v>-10591.670000000013</v>
      </c>
      <c r="I8" s="9"/>
      <c r="J8" s="13">
        <f>I8+февраль!J8</f>
        <v>0</v>
      </c>
      <c r="K8" s="8"/>
      <c r="L8" s="12">
        <f>K8+февраль!L8</f>
        <v>0</v>
      </c>
    </row>
    <row r="9" spans="1:12">
      <c r="A9" s="1">
        <f t="shared" si="1"/>
        <v>7</v>
      </c>
      <c r="B9" s="28" t="str">
        <f>февраль!B9</f>
        <v>Хол.вода</v>
      </c>
      <c r="C9" s="8">
        <v>14595.02</v>
      </c>
      <c r="D9" s="12">
        <f>C9+февраль!D9</f>
        <v>43242.05</v>
      </c>
      <c r="E9" s="9">
        <v>12376.15</v>
      </c>
      <c r="F9" s="12">
        <f>E9+февраль!F9</f>
        <v>39227.35</v>
      </c>
      <c r="G9" s="12">
        <f t="shared" si="0"/>
        <v>-2218.8700000000008</v>
      </c>
      <c r="H9" s="13">
        <f t="shared" si="0"/>
        <v>-4014.7000000000044</v>
      </c>
      <c r="I9" s="9"/>
      <c r="J9" s="13">
        <f>I9+февраль!J9</f>
        <v>0</v>
      </c>
      <c r="K9" s="8"/>
      <c r="L9" s="12">
        <f>K9+февраль!L9</f>
        <v>0</v>
      </c>
    </row>
    <row r="10" spans="1:12">
      <c r="A10" s="1">
        <f t="shared" si="1"/>
        <v>8</v>
      </c>
      <c r="B10" s="28" t="str">
        <f>февраль!B10</f>
        <v>Канализир.х.воды</v>
      </c>
      <c r="C10" s="8">
        <v>0</v>
      </c>
      <c r="D10" s="12">
        <f>C10+февраль!D10</f>
        <v>0</v>
      </c>
      <c r="E10" s="9">
        <v>0</v>
      </c>
      <c r="F10" s="12">
        <f>E10+февраль!F10</f>
        <v>0</v>
      </c>
      <c r="G10" s="12">
        <f t="shared" si="0"/>
        <v>0</v>
      </c>
      <c r="H10" s="13">
        <f t="shared" si="0"/>
        <v>0</v>
      </c>
      <c r="I10" s="9"/>
      <c r="J10" s="13">
        <f>I10+февраль!J10</f>
        <v>0</v>
      </c>
      <c r="K10" s="8"/>
      <c r="L10" s="12">
        <f>K10+февраль!L10</f>
        <v>0</v>
      </c>
    </row>
    <row r="11" spans="1:12">
      <c r="A11" s="1">
        <f t="shared" si="1"/>
        <v>9</v>
      </c>
      <c r="B11" s="28" t="str">
        <f>февраль!B11</f>
        <v>Канализир.г.воды</v>
      </c>
      <c r="C11" s="8">
        <v>0</v>
      </c>
      <c r="D11" s="12">
        <f>C11+февраль!D11</f>
        <v>0</v>
      </c>
      <c r="E11" s="9">
        <v>0</v>
      </c>
      <c r="F11" s="12">
        <f>E11+февраль!F11</f>
        <v>0</v>
      </c>
      <c r="G11" s="12">
        <f t="shared" si="0"/>
        <v>0</v>
      </c>
      <c r="H11" s="13">
        <f t="shared" si="0"/>
        <v>0</v>
      </c>
      <c r="I11" s="9"/>
      <c r="J11" s="13">
        <f>I11+февраль!J11</f>
        <v>0</v>
      </c>
      <c r="K11" s="8"/>
      <c r="L11" s="12">
        <f>K11+февраль!L11</f>
        <v>0</v>
      </c>
    </row>
    <row r="12" spans="1:12">
      <c r="A12" s="1">
        <f t="shared" si="1"/>
        <v>10</v>
      </c>
      <c r="B12" s="28" t="str">
        <f>февраль!B12</f>
        <v>Тек.рем.общ.имущ.дома</v>
      </c>
      <c r="C12" s="8">
        <v>15902.97</v>
      </c>
      <c r="D12" s="12">
        <f>C12+февраль!D12</f>
        <v>47708.909999999996</v>
      </c>
      <c r="E12" s="9">
        <v>13543.15</v>
      </c>
      <c r="F12" s="12">
        <f>E12+февраль!F12</f>
        <v>42825.31</v>
      </c>
      <c r="G12" s="12">
        <f t="shared" si="0"/>
        <v>-2359.8199999999997</v>
      </c>
      <c r="H12" s="13">
        <f t="shared" si="0"/>
        <v>-4883.5999999999985</v>
      </c>
      <c r="I12" s="9"/>
      <c r="J12" s="13">
        <f>I12+февраль!J12</f>
        <v>0</v>
      </c>
      <c r="K12" s="8"/>
      <c r="L12" s="12">
        <f>K12+февраль!L12</f>
        <v>0</v>
      </c>
    </row>
    <row r="13" spans="1:12">
      <c r="A13" s="1">
        <f t="shared" si="1"/>
        <v>11</v>
      </c>
      <c r="B13" s="28" t="str">
        <f>февраль!B13</f>
        <v>Сод.и тек.рем.в/дом.газосн.</v>
      </c>
      <c r="C13" s="8">
        <v>1770.1</v>
      </c>
      <c r="D13" s="12">
        <f>C13+февраль!D13</f>
        <v>5310.2999999999993</v>
      </c>
      <c r="E13" s="9">
        <v>1507.38</v>
      </c>
      <c r="F13" s="12">
        <f>E13+февраль!F13</f>
        <v>4766.7</v>
      </c>
      <c r="G13" s="12">
        <f t="shared" si="0"/>
        <v>-262.7199999999998</v>
      </c>
      <c r="H13" s="13">
        <f t="shared" si="0"/>
        <v>-543.59999999999945</v>
      </c>
      <c r="I13" s="9"/>
      <c r="J13" s="13">
        <f>I13+февраль!J13</f>
        <v>0</v>
      </c>
      <c r="K13" s="8"/>
      <c r="L13" s="12">
        <f>K13+февраль!L13</f>
        <v>0</v>
      </c>
    </row>
    <row r="14" spans="1:12">
      <c r="A14" s="1">
        <f t="shared" si="1"/>
        <v>12</v>
      </c>
      <c r="B14" s="28" t="str">
        <f>февраль!B14</f>
        <v>Управление многокв.дом.</v>
      </c>
      <c r="C14" s="8">
        <v>6235.88</v>
      </c>
      <c r="D14" s="12">
        <f>C14+февраль!D14</f>
        <v>18707.64</v>
      </c>
      <c r="E14" s="9">
        <v>5304.15</v>
      </c>
      <c r="F14" s="12">
        <f>E14+февраль!F14</f>
        <v>16785.04</v>
      </c>
      <c r="G14" s="12">
        <f t="shared" si="0"/>
        <v>-931.73000000000047</v>
      </c>
      <c r="H14" s="13">
        <f t="shared" si="0"/>
        <v>-1922.5999999999985</v>
      </c>
      <c r="I14" s="9"/>
      <c r="J14" s="13">
        <f>I14+февраль!J14</f>
        <v>0</v>
      </c>
      <c r="K14" s="8"/>
      <c r="L14" s="12">
        <f>K14+февраль!L14</f>
        <v>0</v>
      </c>
    </row>
    <row r="15" spans="1:12">
      <c r="A15" s="1">
        <f t="shared" si="1"/>
        <v>13</v>
      </c>
      <c r="B15" s="28" t="str">
        <f>февраль!B15</f>
        <v>Водоотведение(кв)</v>
      </c>
      <c r="C15" s="8">
        <v>14595.02</v>
      </c>
      <c r="D15" s="12">
        <f>C15+февраль!D15</f>
        <v>43242.05</v>
      </c>
      <c r="E15" s="9">
        <v>12376.15</v>
      </c>
      <c r="F15" s="12">
        <f>E15+февраль!F15</f>
        <v>39227.35</v>
      </c>
      <c r="G15" s="12">
        <f t="shared" si="0"/>
        <v>-2218.8700000000008</v>
      </c>
      <c r="H15" s="13">
        <f t="shared" si="0"/>
        <v>-4014.7000000000044</v>
      </c>
      <c r="I15" s="9"/>
      <c r="J15" s="13">
        <f>I15+февраль!J15</f>
        <v>0</v>
      </c>
      <c r="K15" s="8"/>
      <c r="L15" s="12">
        <f>K15+февраль!L15</f>
        <v>0</v>
      </c>
    </row>
    <row r="16" spans="1:12">
      <c r="A16" s="1">
        <f t="shared" si="1"/>
        <v>14</v>
      </c>
      <c r="B16" s="28" t="str">
        <f>февраль!B16</f>
        <v>Эксплуатация общедом.ПУ</v>
      </c>
      <c r="C16" s="8">
        <v>163.34</v>
      </c>
      <c r="D16" s="12">
        <f>C16+февраль!D16</f>
        <v>490.02</v>
      </c>
      <c r="E16" s="9">
        <v>139.15</v>
      </c>
      <c r="F16" s="12">
        <f>E16+февраль!F16</f>
        <v>439.98</v>
      </c>
      <c r="G16" s="12">
        <f t="shared" si="0"/>
        <v>-24.189999999999998</v>
      </c>
      <c r="H16" s="13">
        <f t="shared" si="0"/>
        <v>-50.039999999999964</v>
      </c>
      <c r="I16" s="9"/>
      <c r="J16" s="13">
        <f>I16+февраль!J16</f>
        <v>0</v>
      </c>
      <c r="K16" s="8"/>
      <c r="L16" s="12">
        <f>K16+февраль!L16</f>
        <v>0</v>
      </c>
    </row>
    <row r="17" spans="1:12">
      <c r="A17" s="1">
        <f t="shared" si="1"/>
        <v>15</v>
      </c>
      <c r="B17" s="28" t="str">
        <f>февраль!B17</f>
        <v>Хол.водоснабж.(о/д нужды)</v>
      </c>
      <c r="C17" s="8">
        <v>170.5</v>
      </c>
      <c r="D17" s="12">
        <f>C17+февраль!D17</f>
        <v>511.5</v>
      </c>
      <c r="E17" s="9">
        <v>145.43</v>
      </c>
      <c r="F17" s="12">
        <f>E17+февраль!F17</f>
        <v>458.52000000000004</v>
      </c>
      <c r="G17" s="12">
        <f t="shared" si="0"/>
        <v>-25.069999999999993</v>
      </c>
      <c r="H17" s="13">
        <f t="shared" si="0"/>
        <v>-52.979999999999961</v>
      </c>
      <c r="I17" s="9"/>
      <c r="J17" s="13">
        <f>I17+февраль!J17</f>
        <v>0</v>
      </c>
      <c r="K17" s="8"/>
      <c r="L17" s="12">
        <f>K17+февраль!L17</f>
        <v>0</v>
      </c>
    </row>
    <row r="18" spans="1:12">
      <c r="A18" s="1">
        <f t="shared" si="1"/>
        <v>16</v>
      </c>
      <c r="B18" s="28" t="str">
        <f>февраль!B18</f>
        <v>Водоотведение(о/д нужды)</v>
      </c>
      <c r="C18" s="8">
        <v>0</v>
      </c>
      <c r="D18" s="12">
        <f>C18+февраль!D18</f>
        <v>0</v>
      </c>
      <c r="E18" s="9">
        <v>0</v>
      </c>
      <c r="F18" s="12">
        <f>E18+февраль!F18</f>
        <v>0</v>
      </c>
      <c r="G18" s="12">
        <f t="shared" si="0"/>
        <v>0</v>
      </c>
      <c r="H18" s="13">
        <f t="shared" si="0"/>
        <v>0</v>
      </c>
      <c r="I18" s="9"/>
      <c r="J18" s="13">
        <f>I18+февраль!J18</f>
        <v>0</v>
      </c>
      <c r="K18" s="8"/>
      <c r="L18" s="12">
        <f>K18+февраль!L18</f>
        <v>0</v>
      </c>
    </row>
    <row r="19" spans="1:12">
      <c r="A19" s="1">
        <f t="shared" si="1"/>
        <v>17</v>
      </c>
      <c r="B19" s="28" t="str">
        <f>февраль!B19</f>
        <v>Отопление(о/д нужды)</v>
      </c>
      <c r="C19" s="8">
        <v>0</v>
      </c>
      <c r="D19" s="12">
        <f>C19+февраль!D19</f>
        <v>0</v>
      </c>
      <c r="E19" s="9">
        <v>0</v>
      </c>
      <c r="F19" s="12">
        <f>E19+февраль!F19</f>
        <v>0</v>
      </c>
      <c r="G19" s="12">
        <f t="shared" si="0"/>
        <v>0</v>
      </c>
      <c r="H19" s="13">
        <f t="shared" si="0"/>
        <v>0</v>
      </c>
      <c r="I19" s="9"/>
      <c r="J19" s="13">
        <f>I19+февраль!J19</f>
        <v>0</v>
      </c>
      <c r="K19" s="8"/>
      <c r="L19" s="12">
        <f>K19+февраль!L19</f>
        <v>0</v>
      </c>
    </row>
    <row r="20" spans="1:12">
      <c r="A20" s="1">
        <f t="shared" si="1"/>
        <v>18</v>
      </c>
      <c r="B20" s="28" t="str">
        <f>февраль!B20</f>
        <v>Электроснабжение(общед.нужды)</v>
      </c>
      <c r="C20" s="8">
        <v>74734.36</v>
      </c>
      <c r="D20" s="12">
        <f>C20+февраль!D20</f>
        <v>154809.49</v>
      </c>
      <c r="E20" s="9">
        <v>57500.33</v>
      </c>
      <c r="F20" s="12">
        <f>E20+февраль!F20</f>
        <v>134330.77000000002</v>
      </c>
      <c r="G20" s="12">
        <f t="shared" si="0"/>
        <v>-17234.03</v>
      </c>
      <c r="H20" s="13">
        <f t="shared" si="0"/>
        <v>-20478.719999999972</v>
      </c>
      <c r="I20" s="9"/>
      <c r="J20" s="13">
        <f>I20+февраль!J20</f>
        <v>0</v>
      </c>
      <c r="K20" s="8"/>
      <c r="L20" s="12">
        <f>K20+февраль!L20</f>
        <v>0</v>
      </c>
    </row>
    <row r="21" spans="1:12">
      <c r="A21" s="1">
        <f t="shared" si="1"/>
        <v>19</v>
      </c>
      <c r="B21" s="28" t="str">
        <f>февраль!B21</f>
        <v>Горячее водоснабж.(о/д нужды)</v>
      </c>
      <c r="C21" s="8">
        <v>0</v>
      </c>
      <c r="D21" s="12">
        <f>C21+февраль!D21</f>
        <v>0</v>
      </c>
      <c r="E21" s="9">
        <v>0</v>
      </c>
      <c r="F21" s="12">
        <f>E21+февраль!F21</f>
        <v>0</v>
      </c>
      <c r="G21" s="12">
        <f t="shared" si="0"/>
        <v>0</v>
      </c>
      <c r="H21" s="13">
        <f t="shared" si="0"/>
        <v>0</v>
      </c>
      <c r="I21" s="9"/>
      <c r="J21" s="13">
        <f>I21+февраль!J21</f>
        <v>0</v>
      </c>
      <c r="K21" s="8"/>
      <c r="L21" s="12">
        <f>K21+февраль!L21</f>
        <v>0</v>
      </c>
    </row>
    <row r="22" spans="1:12" ht="24.75" customHeight="1">
      <c r="A22" s="1">
        <f t="shared" si="1"/>
        <v>20</v>
      </c>
      <c r="B22" s="28">
        <f>февраль!B22</f>
        <v>0</v>
      </c>
      <c r="C22" s="8">
        <v>0</v>
      </c>
      <c r="D22" s="12">
        <f>C22+февраль!D22</f>
        <v>0</v>
      </c>
      <c r="E22" s="9">
        <v>0</v>
      </c>
      <c r="F22" s="12">
        <f>E22+февраль!F22</f>
        <v>0</v>
      </c>
      <c r="G22" s="12">
        <f t="shared" si="0"/>
        <v>0</v>
      </c>
      <c r="H22" s="13">
        <f t="shared" si="0"/>
        <v>0</v>
      </c>
      <c r="I22" s="9"/>
      <c r="J22" s="13">
        <f>I22+февраль!J22</f>
        <v>0</v>
      </c>
      <c r="K22" s="8"/>
      <c r="L22" s="12">
        <f>K22+февраль!L22</f>
        <v>0</v>
      </c>
    </row>
    <row r="23" spans="1:12">
      <c r="A23" s="18"/>
      <c r="B23" s="17" t="s">
        <v>12</v>
      </c>
      <c r="C23" s="57">
        <f t="shared" ref="C23:L23" si="2">SUM(C3:C22)</f>
        <v>304257.25999999995</v>
      </c>
      <c r="D23" s="12">
        <f t="shared" si="2"/>
        <v>841626.70000000019</v>
      </c>
      <c r="E23" s="58">
        <f t="shared" si="2"/>
        <v>252542.94999999995</v>
      </c>
      <c r="F23" s="12">
        <f t="shared" si="2"/>
        <v>747745.39</v>
      </c>
      <c r="G23" s="12">
        <f t="shared" si="2"/>
        <v>-51714.310000000005</v>
      </c>
      <c r="H23" s="13">
        <f t="shared" si="2"/>
        <v>-93881.31</v>
      </c>
      <c r="I23" s="13">
        <f t="shared" si="2"/>
        <v>0</v>
      </c>
      <c r="J23" s="13">
        <f t="shared" si="2"/>
        <v>0</v>
      </c>
      <c r="K23" s="12">
        <f t="shared" si="2"/>
        <v>0</v>
      </c>
      <c r="L23" s="12">
        <f t="shared" si="2"/>
        <v>0</v>
      </c>
    </row>
    <row r="25" spans="1:12">
      <c r="B25" s="49" t="s">
        <v>34</v>
      </c>
      <c r="C25" s="9">
        <f t="shared" ref="C25:H25" si="3">C3+C7+C12+C13+C14+C16</f>
        <v>58383.429999999993</v>
      </c>
      <c r="D25" s="9">
        <f t="shared" si="3"/>
        <v>175150.28999999995</v>
      </c>
      <c r="E25" s="9">
        <f t="shared" si="3"/>
        <v>49682.409999999996</v>
      </c>
      <c r="F25" s="9">
        <f t="shared" si="3"/>
        <v>156490.13000000003</v>
      </c>
      <c r="G25" s="9">
        <f t="shared" si="3"/>
        <v>-8701.0199999999986</v>
      </c>
      <c r="H25" s="9">
        <f t="shared" si="3"/>
        <v>-18660.159999999989</v>
      </c>
    </row>
    <row r="26" spans="1:12" ht="3" customHeight="1"/>
    <row r="27" spans="1:12" hidden="1"/>
    <row r="28" spans="1:12">
      <c r="B28" s="1" t="s">
        <v>35</v>
      </c>
      <c r="C28" s="9">
        <f>C9+C10+C11+C15+C17+C18+C22</f>
        <v>29360.54</v>
      </c>
      <c r="D28" s="9">
        <f t="shared" ref="D28:J28" si="4">D9+D10+D11+D15+D17+D18+D22</f>
        <v>86995.6</v>
      </c>
      <c r="E28" s="9">
        <f t="shared" si="4"/>
        <v>24897.73</v>
      </c>
      <c r="F28" s="9">
        <f t="shared" si="4"/>
        <v>78913.22</v>
      </c>
      <c r="G28" s="9">
        <f t="shared" si="4"/>
        <v>-4462.8100000000013</v>
      </c>
      <c r="H28" s="9">
        <f t="shared" si="4"/>
        <v>-8082.3800000000083</v>
      </c>
      <c r="I28" s="9">
        <f t="shared" si="4"/>
        <v>0</v>
      </c>
      <c r="J28" s="9">
        <f t="shared" si="4"/>
        <v>0</v>
      </c>
    </row>
    <row r="29" spans="1:12">
      <c r="B29" s="1" t="s">
        <v>36</v>
      </c>
      <c r="C29" s="9">
        <f>C8+C20</f>
        <v>110070.04000000001</v>
      </c>
      <c r="D29" s="9">
        <f t="shared" ref="D29:J29" si="5">D8+D20</f>
        <v>260151.06</v>
      </c>
      <c r="E29" s="9">
        <f t="shared" si="5"/>
        <v>87335.11</v>
      </c>
      <c r="F29" s="9">
        <f t="shared" si="5"/>
        <v>229080.67</v>
      </c>
      <c r="G29" s="9">
        <f t="shared" si="5"/>
        <v>-22734.93</v>
      </c>
      <c r="H29" s="9">
        <f t="shared" si="5"/>
        <v>-31070.389999999985</v>
      </c>
      <c r="I29" s="9">
        <f t="shared" si="5"/>
        <v>0</v>
      </c>
      <c r="J29" s="9">
        <f t="shared" si="5"/>
        <v>0</v>
      </c>
    </row>
    <row r="30" spans="1:12">
      <c r="B30" s="1" t="s">
        <v>37</v>
      </c>
      <c r="C30" s="9">
        <f>C4+C5+C21+C19</f>
        <v>106443.25</v>
      </c>
      <c r="D30" s="9">
        <f t="shared" ref="D30:J30" si="6">D4+D5+D21+D19</f>
        <v>319329.75</v>
      </c>
      <c r="E30" s="9">
        <f t="shared" si="6"/>
        <v>90627.7</v>
      </c>
      <c r="F30" s="9">
        <f t="shared" si="6"/>
        <v>283261.37</v>
      </c>
      <c r="G30" s="9">
        <f t="shared" si="6"/>
        <v>-15815.550000000003</v>
      </c>
      <c r="H30" s="9">
        <f t="shared" si="6"/>
        <v>-36068.380000000005</v>
      </c>
      <c r="I30" s="9">
        <f t="shared" si="6"/>
        <v>0</v>
      </c>
      <c r="J30" s="9">
        <f t="shared" si="6"/>
        <v>0</v>
      </c>
    </row>
    <row r="35" spans="9:10">
      <c r="I35">
        <v>255940.67</v>
      </c>
      <c r="J35">
        <v>219758.96</v>
      </c>
    </row>
    <row r="36" spans="9:10">
      <c r="I36">
        <v>48316.59</v>
      </c>
      <c r="J36">
        <v>32783.99</v>
      </c>
    </row>
    <row r="37" spans="9:10">
      <c r="I37" s="11">
        <f>I35+I36</f>
        <v>304257.26</v>
      </c>
      <c r="J37" s="11">
        <f>J35+J36</f>
        <v>252542.94999999998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0"/>
  <sheetViews>
    <sheetView workbookViewId="0">
      <selection activeCell="B2" sqref="B2"/>
    </sheetView>
  </sheetViews>
  <sheetFormatPr defaultRowHeight="12.75"/>
  <cols>
    <col min="1" max="1" width="2.85546875" customWidth="1"/>
    <col min="2" max="2" width="30.7109375" customWidth="1"/>
    <col min="3" max="3" width="10" customWidth="1"/>
    <col min="4" max="4" width="12.42578125" customWidth="1"/>
    <col min="5" max="5" width="9.85546875" customWidth="1"/>
    <col min="6" max="6" width="11.140625" customWidth="1"/>
    <col min="7" max="7" width="11.28515625" customWidth="1"/>
    <col min="8" max="8" width="12.42578125" customWidth="1"/>
    <col min="9" max="9" width="9.85546875" customWidth="1"/>
    <col min="10" max="10" width="11" customWidth="1"/>
    <col min="11" max="11" width="9.42578125" customWidth="1"/>
    <col min="12" max="12" width="10.85546875" customWidth="1"/>
  </cols>
  <sheetData>
    <row r="2" spans="1:12">
      <c r="B2" s="11" t="s">
        <v>38</v>
      </c>
    </row>
    <row r="4" spans="1:12" ht="38.25">
      <c r="A4" s="1" t="s">
        <v>0</v>
      </c>
      <c r="B4" s="14" t="s">
        <v>1</v>
      </c>
      <c r="C4" s="15" t="s">
        <v>2</v>
      </c>
      <c r="D4" s="14" t="s">
        <v>3</v>
      </c>
      <c r="E4" s="16" t="s">
        <v>4</v>
      </c>
      <c r="F4" s="14" t="s">
        <v>5</v>
      </c>
      <c r="G4" s="14" t="s">
        <v>6</v>
      </c>
      <c r="H4" s="16" t="s">
        <v>7</v>
      </c>
      <c r="I4" s="16" t="s">
        <v>8</v>
      </c>
      <c r="J4" s="16" t="s">
        <v>9</v>
      </c>
      <c r="K4" s="14" t="s">
        <v>10</v>
      </c>
      <c r="L4" s="14" t="s">
        <v>11</v>
      </c>
    </row>
    <row r="5" spans="1:12">
      <c r="A5" s="1">
        <v>1</v>
      </c>
      <c r="B5" s="28" t="str">
        <f>март!B3</f>
        <v>Содержание общ.имущ.дома</v>
      </c>
      <c r="C5" s="8">
        <v>30172.03</v>
      </c>
      <c r="D5" s="12">
        <v>90516.09</v>
      </c>
      <c r="E5" s="9">
        <v>29008.29</v>
      </c>
      <c r="F5" s="12">
        <f>E5+март!F3</f>
        <v>109534.42000000001</v>
      </c>
      <c r="G5" s="12">
        <f>E5-C5</f>
        <v>-1163.739999999998</v>
      </c>
      <c r="H5" s="13">
        <f>F5-D5</f>
        <v>19018.330000000016</v>
      </c>
      <c r="I5" s="9"/>
      <c r="J5" s="13">
        <f>I5+март!J3</f>
        <v>0</v>
      </c>
      <c r="K5" s="8"/>
      <c r="L5" s="12">
        <f>K5+март!L3</f>
        <v>0</v>
      </c>
    </row>
    <row r="6" spans="1:12">
      <c r="A6" s="1">
        <f>A5+1</f>
        <v>2</v>
      </c>
      <c r="B6" s="28" t="str">
        <f>март!B4</f>
        <v>Отопление</v>
      </c>
      <c r="C6" s="8">
        <v>106443.25</v>
      </c>
      <c r="D6" s="12">
        <v>319329.75</v>
      </c>
      <c r="E6" s="9">
        <v>102493.51</v>
      </c>
      <c r="F6" s="12">
        <f>E6+март!F4</f>
        <v>385754.88</v>
      </c>
      <c r="G6" s="12">
        <f t="shared" ref="G6:H24" si="0">E6-C6</f>
        <v>-3949.7400000000052</v>
      </c>
      <c r="H6" s="13">
        <f t="shared" si="0"/>
        <v>66425.13</v>
      </c>
      <c r="I6" s="9"/>
      <c r="J6" s="13">
        <f>I6+март!J4</f>
        <v>0</v>
      </c>
      <c r="K6" s="8"/>
      <c r="L6" s="12">
        <f>K6+март!L4</f>
        <v>0</v>
      </c>
    </row>
    <row r="7" spans="1:12">
      <c r="A7" s="1">
        <f t="shared" ref="A7:A24" si="1">A6+1</f>
        <v>3</v>
      </c>
      <c r="B7" s="28" t="str">
        <f>март!B5</f>
        <v>Горячее водоснабжение</v>
      </c>
      <c r="C7" s="8">
        <v>0</v>
      </c>
      <c r="D7" s="12">
        <v>0</v>
      </c>
      <c r="E7" s="9">
        <v>0</v>
      </c>
      <c r="F7" s="12">
        <f>E7+март!F5</f>
        <v>0</v>
      </c>
      <c r="G7" s="12">
        <f t="shared" si="0"/>
        <v>0</v>
      </c>
      <c r="H7" s="13">
        <f t="shared" si="0"/>
        <v>0</v>
      </c>
      <c r="I7" s="9"/>
      <c r="J7" s="13">
        <f>I7+март!J5</f>
        <v>0</v>
      </c>
      <c r="K7" s="8"/>
      <c r="L7" s="12">
        <f>K7+март!L5</f>
        <v>0</v>
      </c>
    </row>
    <row r="8" spans="1:12">
      <c r="A8" s="1">
        <f t="shared" si="1"/>
        <v>4</v>
      </c>
      <c r="B8" s="28" t="str">
        <f>март!B6</f>
        <v>Газ</v>
      </c>
      <c r="C8" s="8">
        <v>0</v>
      </c>
      <c r="D8" s="12">
        <v>0</v>
      </c>
      <c r="E8" s="9">
        <v>0</v>
      </c>
      <c r="F8" s="12">
        <f>E8+март!F6</f>
        <v>0</v>
      </c>
      <c r="G8" s="12">
        <f t="shared" si="0"/>
        <v>0</v>
      </c>
      <c r="H8" s="13">
        <f t="shared" si="0"/>
        <v>0</v>
      </c>
      <c r="I8" s="9"/>
      <c r="J8" s="13">
        <f>I8+март!J6</f>
        <v>0</v>
      </c>
      <c r="K8" s="8"/>
      <c r="L8" s="12">
        <f>K8+март!L6</f>
        <v>0</v>
      </c>
    </row>
    <row r="9" spans="1:12">
      <c r="A9" s="1">
        <f t="shared" si="1"/>
        <v>5</v>
      </c>
      <c r="B9" s="28" t="str">
        <f>март!B7</f>
        <v>Уборка и сан.очистка зем.уч.</v>
      </c>
      <c r="C9" s="8">
        <v>4139.1099999999997</v>
      </c>
      <c r="D9" s="12">
        <v>12417.33</v>
      </c>
      <c r="E9" s="9">
        <v>3985.27</v>
      </c>
      <c r="F9" s="12">
        <f>E9+март!F7</f>
        <v>15132.24</v>
      </c>
      <c r="G9" s="12">
        <f t="shared" si="0"/>
        <v>-153.83999999999969</v>
      </c>
      <c r="H9" s="13">
        <f t="shared" si="0"/>
        <v>2714.91</v>
      </c>
      <c r="I9" s="9"/>
      <c r="J9" s="13">
        <f>I9+март!J7</f>
        <v>0</v>
      </c>
      <c r="K9" s="8"/>
      <c r="L9" s="12">
        <f>K9+март!L7</f>
        <v>0</v>
      </c>
    </row>
    <row r="10" spans="1:12">
      <c r="A10" s="1">
        <f t="shared" si="1"/>
        <v>6</v>
      </c>
      <c r="B10" s="28" t="str">
        <f>март!B8</f>
        <v>Электроснабжение (инд.потр)</v>
      </c>
      <c r="C10" s="8">
        <v>35014.32</v>
      </c>
      <c r="D10" s="12">
        <v>105020.21</v>
      </c>
      <c r="E10" s="9">
        <v>34657.68</v>
      </c>
      <c r="F10" s="12">
        <f>E10+март!F8</f>
        <v>129407.57999999999</v>
      </c>
      <c r="G10" s="12">
        <f t="shared" si="0"/>
        <v>-356.63999999999942</v>
      </c>
      <c r="H10" s="13">
        <f t="shared" si="0"/>
        <v>24387.369999999981</v>
      </c>
      <c r="I10" s="9"/>
      <c r="J10" s="13">
        <f>I10+март!J8</f>
        <v>0</v>
      </c>
      <c r="K10" s="8"/>
      <c r="L10" s="12">
        <f>K10+март!L8</f>
        <v>0</v>
      </c>
    </row>
    <row r="11" spans="1:12">
      <c r="A11" s="1">
        <f t="shared" si="1"/>
        <v>7</v>
      </c>
      <c r="B11" s="28" t="str">
        <f>март!B9</f>
        <v>Хол.вода</v>
      </c>
      <c r="C11" s="8">
        <v>14684.03</v>
      </c>
      <c r="D11" s="12">
        <v>43331.06</v>
      </c>
      <c r="E11" s="9">
        <v>14353.44</v>
      </c>
      <c r="F11" s="12">
        <f>E11+март!F9</f>
        <v>53580.79</v>
      </c>
      <c r="G11" s="12">
        <f t="shared" si="0"/>
        <v>-330.59000000000015</v>
      </c>
      <c r="H11" s="13">
        <f t="shared" si="0"/>
        <v>10249.730000000003</v>
      </c>
      <c r="I11" s="9"/>
      <c r="J11" s="13">
        <f>I11+март!J9</f>
        <v>0</v>
      </c>
      <c r="K11" s="8"/>
      <c r="L11" s="12">
        <f>K11+март!L9</f>
        <v>0</v>
      </c>
    </row>
    <row r="12" spans="1:12">
      <c r="A12" s="1">
        <f t="shared" si="1"/>
        <v>8</v>
      </c>
      <c r="B12" s="28" t="str">
        <f>март!B10</f>
        <v>Канализир.х.воды</v>
      </c>
      <c r="C12" s="8">
        <v>0</v>
      </c>
      <c r="D12" s="12">
        <v>0</v>
      </c>
      <c r="E12" s="9">
        <v>0</v>
      </c>
      <c r="F12" s="12">
        <f>E12+март!F10</f>
        <v>0</v>
      </c>
      <c r="G12" s="12">
        <f t="shared" si="0"/>
        <v>0</v>
      </c>
      <c r="H12" s="13">
        <f t="shared" si="0"/>
        <v>0</v>
      </c>
      <c r="I12" s="9"/>
      <c r="J12" s="13">
        <f>I12+март!J10</f>
        <v>0</v>
      </c>
      <c r="K12" s="8"/>
      <c r="L12" s="12">
        <f>K12+март!L10</f>
        <v>0</v>
      </c>
    </row>
    <row r="13" spans="1:12">
      <c r="A13" s="1">
        <f t="shared" si="1"/>
        <v>9</v>
      </c>
      <c r="B13" s="28" t="str">
        <f>март!B11</f>
        <v>Канализир.г.воды</v>
      </c>
      <c r="C13" s="8">
        <v>0</v>
      </c>
      <c r="D13" s="12">
        <v>0</v>
      </c>
      <c r="E13" s="9">
        <v>0</v>
      </c>
      <c r="F13" s="12">
        <f>E13+март!F11</f>
        <v>0</v>
      </c>
      <c r="G13" s="12">
        <f t="shared" si="0"/>
        <v>0</v>
      </c>
      <c r="H13" s="13">
        <f t="shared" si="0"/>
        <v>0</v>
      </c>
      <c r="I13" s="9"/>
      <c r="J13" s="13">
        <f>I13+март!J11</f>
        <v>0</v>
      </c>
      <c r="K13" s="8"/>
      <c r="L13" s="12">
        <f>K13+март!L11</f>
        <v>0</v>
      </c>
    </row>
    <row r="14" spans="1:12">
      <c r="A14" s="1">
        <f t="shared" si="1"/>
        <v>10</v>
      </c>
      <c r="B14" s="28" t="str">
        <f>март!B12</f>
        <v>Тек.рем.общ.имущ.дома</v>
      </c>
      <c r="C14" s="8">
        <v>15902.97</v>
      </c>
      <c r="D14" s="12">
        <v>47708.91</v>
      </c>
      <c r="E14" s="9">
        <v>15312.43</v>
      </c>
      <c r="F14" s="12">
        <f>E14+март!F12</f>
        <v>58137.74</v>
      </c>
      <c r="G14" s="12">
        <f t="shared" si="0"/>
        <v>-590.53999999999905</v>
      </c>
      <c r="H14" s="13">
        <f t="shared" si="0"/>
        <v>10428.829999999994</v>
      </c>
      <c r="I14" s="9"/>
      <c r="J14" s="13">
        <f>I14+март!J12</f>
        <v>0</v>
      </c>
      <c r="K14" s="8"/>
      <c r="L14" s="12">
        <f>K14+март!L12</f>
        <v>0</v>
      </c>
    </row>
    <row r="15" spans="1:12">
      <c r="A15" s="1">
        <f t="shared" si="1"/>
        <v>11</v>
      </c>
      <c r="B15" s="28" t="str">
        <f>март!B13</f>
        <v>Сод.и тек.рем.в/дом.газосн.</v>
      </c>
      <c r="C15" s="8">
        <v>1770.1</v>
      </c>
      <c r="D15" s="12">
        <v>5310.3</v>
      </c>
      <c r="E15" s="9">
        <v>1704.3</v>
      </c>
      <c r="F15" s="12">
        <f>E15+март!F13</f>
        <v>6471</v>
      </c>
      <c r="G15" s="12">
        <f t="shared" si="0"/>
        <v>-65.799999999999955</v>
      </c>
      <c r="H15" s="13">
        <f t="shared" si="0"/>
        <v>1160.6999999999998</v>
      </c>
      <c r="I15" s="9"/>
      <c r="J15" s="13">
        <f>I15+март!J13</f>
        <v>0</v>
      </c>
      <c r="K15" s="8"/>
      <c r="L15" s="12">
        <f>K15+март!L13</f>
        <v>0</v>
      </c>
    </row>
    <row r="16" spans="1:12">
      <c r="A16" s="1">
        <f t="shared" si="1"/>
        <v>12</v>
      </c>
      <c r="B16" s="28" t="str">
        <f>март!B14</f>
        <v>Управление многокв.дом.</v>
      </c>
      <c r="C16" s="8">
        <v>6235.88</v>
      </c>
      <c r="D16" s="12">
        <v>18707.64</v>
      </c>
      <c r="E16" s="9">
        <v>6000.44</v>
      </c>
      <c r="F16" s="12">
        <f>E16+март!F14</f>
        <v>22785.48</v>
      </c>
      <c r="G16" s="12">
        <f t="shared" si="0"/>
        <v>-235.44000000000051</v>
      </c>
      <c r="H16" s="13">
        <f t="shared" si="0"/>
        <v>4077.84</v>
      </c>
      <c r="I16" s="9"/>
      <c r="J16" s="13">
        <f>I16+март!J14</f>
        <v>0</v>
      </c>
      <c r="K16" s="8"/>
      <c r="L16" s="12">
        <f>K16+март!L14</f>
        <v>0</v>
      </c>
    </row>
    <row r="17" spans="1:12">
      <c r="A17" s="1">
        <f t="shared" si="1"/>
        <v>13</v>
      </c>
      <c r="B17" s="28" t="str">
        <f>март!B15</f>
        <v>Водоотведение(кв)</v>
      </c>
      <c r="C17" s="8">
        <v>14684.03</v>
      </c>
      <c r="D17" s="12">
        <v>43331.06</v>
      </c>
      <c r="E17" s="9">
        <v>14353.44</v>
      </c>
      <c r="F17" s="12">
        <f>E17+март!F15</f>
        <v>53580.79</v>
      </c>
      <c r="G17" s="12">
        <f t="shared" si="0"/>
        <v>-330.59000000000015</v>
      </c>
      <c r="H17" s="13">
        <f t="shared" si="0"/>
        <v>10249.730000000003</v>
      </c>
      <c r="I17" s="9"/>
      <c r="J17" s="13">
        <f>I17+март!J15</f>
        <v>0</v>
      </c>
      <c r="K17" s="8"/>
      <c r="L17" s="12">
        <f>K17+март!L15</f>
        <v>0</v>
      </c>
    </row>
    <row r="18" spans="1:12">
      <c r="A18" s="1">
        <f t="shared" si="1"/>
        <v>14</v>
      </c>
      <c r="B18" s="28" t="str">
        <f>март!B16</f>
        <v>Эксплуатация общедом.ПУ</v>
      </c>
      <c r="C18" s="8">
        <v>163.34</v>
      </c>
      <c r="D18" s="12">
        <v>490.02</v>
      </c>
      <c r="E18" s="9">
        <v>157.58000000000001</v>
      </c>
      <c r="F18" s="12">
        <f>E18+март!F16</f>
        <v>597.56000000000006</v>
      </c>
      <c r="G18" s="12">
        <f t="shared" si="0"/>
        <v>-5.7599999999999909</v>
      </c>
      <c r="H18" s="13">
        <f t="shared" si="0"/>
        <v>107.54000000000008</v>
      </c>
      <c r="I18" s="9"/>
      <c r="J18" s="13">
        <f>I18+март!J16</f>
        <v>0</v>
      </c>
      <c r="K18" s="8"/>
      <c r="L18" s="12">
        <f>K18+март!L16</f>
        <v>0</v>
      </c>
    </row>
    <row r="19" spans="1:12">
      <c r="A19" s="1">
        <f t="shared" si="1"/>
        <v>15</v>
      </c>
      <c r="B19" s="28" t="str">
        <f>март!B17</f>
        <v>Хол.водоснабж.(о/д нужды)</v>
      </c>
      <c r="C19" s="8">
        <v>170.5</v>
      </c>
      <c r="D19" s="12">
        <v>511.5</v>
      </c>
      <c r="E19" s="9">
        <v>164.17</v>
      </c>
      <c r="F19" s="12">
        <f>E19+март!F17</f>
        <v>622.69000000000005</v>
      </c>
      <c r="G19" s="12">
        <f t="shared" si="0"/>
        <v>-6.3300000000000125</v>
      </c>
      <c r="H19" s="13">
        <f t="shared" si="0"/>
        <v>111.19000000000005</v>
      </c>
      <c r="I19" s="9"/>
      <c r="J19" s="13">
        <f>I19+март!J17</f>
        <v>0</v>
      </c>
      <c r="K19" s="8"/>
      <c r="L19" s="12">
        <f>K19+март!L17</f>
        <v>0</v>
      </c>
    </row>
    <row r="20" spans="1:12">
      <c r="A20" s="1">
        <f t="shared" si="1"/>
        <v>16</v>
      </c>
      <c r="B20" s="28" t="str">
        <f>март!B18</f>
        <v>Водоотведение(о/д нужды)</v>
      </c>
      <c r="C20" s="8">
        <v>0</v>
      </c>
      <c r="D20" s="12">
        <v>0</v>
      </c>
      <c r="E20" s="9">
        <v>0</v>
      </c>
      <c r="F20" s="12">
        <f>E20+март!F18</f>
        <v>0</v>
      </c>
      <c r="G20" s="12">
        <f t="shared" si="0"/>
        <v>0</v>
      </c>
      <c r="H20" s="13">
        <f t="shared" si="0"/>
        <v>0</v>
      </c>
      <c r="I20" s="9"/>
      <c r="J20" s="13">
        <f>I20+март!J18</f>
        <v>0</v>
      </c>
      <c r="K20" s="8"/>
      <c r="L20" s="12">
        <f>K20+март!L18</f>
        <v>0</v>
      </c>
    </row>
    <row r="21" spans="1:12">
      <c r="A21" s="1">
        <f t="shared" si="1"/>
        <v>17</v>
      </c>
      <c r="B21" s="28" t="str">
        <f>март!B19</f>
        <v>Отопление(о/д нужды)</v>
      </c>
      <c r="C21" s="8">
        <v>0</v>
      </c>
      <c r="D21" s="12">
        <v>0</v>
      </c>
      <c r="E21" s="9">
        <v>0</v>
      </c>
      <c r="F21" s="12">
        <f>E21+март!F19</f>
        <v>0</v>
      </c>
      <c r="G21" s="12">
        <f t="shared" si="0"/>
        <v>0</v>
      </c>
      <c r="H21" s="13">
        <f t="shared" si="0"/>
        <v>0</v>
      </c>
      <c r="I21" s="9"/>
      <c r="J21" s="13">
        <f>I21+март!J19</f>
        <v>0</v>
      </c>
      <c r="K21" s="8"/>
      <c r="L21" s="12">
        <f>K21+март!L19</f>
        <v>0</v>
      </c>
    </row>
    <row r="22" spans="1:12" ht="14.25" customHeight="1">
      <c r="A22" s="1">
        <f t="shared" si="1"/>
        <v>18</v>
      </c>
      <c r="B22" s="28" t="str">
        <f>март!B20</f>
        <v>Электроснабжение(общед.нужды)</v>
      </c>
      <c r="C22" s="8">
        <v>63403.41</v>
      </c>
      <c r="D22" s="12">
        <v>143478.54</v>
      </c>
      <c r="E22" s="9">
        <v>65790.600000000006</v>
      </c>
      <c r="F22" s="12">
        <f>E22+март!F20</f>
        <v>200121.37000000002</v>
      </c>
      <c r="G22" s="12">
        <f t="shared" si="0"/>
        <v>2387.1900000000023</v>
      </c>
      <c r="H22" s="13">
        <f t="shared" si="0"/>
        <v>56642.830000000016</v>
      </c>
      <c r="I22" s="9"/>
      <c r="J22" s="13">
        <f>I22+март!J20</f>
        <v>0</v>
      </c>
      <c r="K22" s="8"/>
      <c r="L22" s="12">
        <f>K22+март!L20</f>
        <v>0</v>
      </c>
    </row>
    <row r="23" spans="1:12" ht="12" customHeight="1">
      <c r="A23" s="1">
        <f t="shared" si="1"/>
        <v>19</v>
      </c>
      <c r="B23" s="28" t="str">
        <f>март!B21</f>
        <v>Горячее водоснабж.(о/д нужды)</v>
      </c>
      <c r="C23" s="8">
        <v>0</v>
      </c>
      <c r="D23" s="12">
        <v>0</v>
      </c>
      <c r="E23" s="9">
        <v>0</v>
      </c>
      <c r="F23" s="12">
        <f>E23+март!F21</f>
        <v>0</v>
      </c>
      <c r="G23" s="12">
        <f t="shared" si="0"/>
        <v>0</v>
      </c>
      <c r="H23" s="13">
        <f t="shared" si="0"/>
        <v>0</v>
      </c>
      <c r="I23" s="9"/>
      <c r="J23" s="13">
        <f>I23+март!J21</f>
        <v>0</v>
      </c>
      <c r="K23" s="8"/>
      <c r="L23" s="12">
        <f>K23+март!L21</f>
        <v>0</v>
      </c>
    </row>
    <row r="24" spans="1:12">
      <c r="A24" s="1">
        <f t="shared" si="1"/>
        <v>20</v>
      </c>
      <c r="B24" s="30">
        <f>март!B22</f>
        <v>0</v>
      </c>
      <c r="C24" s="8"/>
      <c r="D24" s="12">
        <v>0</v>
      </c>
      <c r="E24" s="9"/>
      <c r="F24" s="12">
        <f>E24+март!F22</f>
        <v>0</v>
      </c>
      <c r="G24" s="12">
        <f t="shared" si="0"/>
        <v>0</v>
      </c>
      <c r="H24" s="13">
        <f t="shared" si="0"/>
        <v>0</v>
      </c>
      <c r="I24" s="9"/>
      <c r="J24" s="13">
        <f>I24+март!J22</f>
        <v>0</v>
      </c>
      <c r="K24" s="8"/>
      <c r="L24" s="12">
        <f>K24+март!L22</f>
        <v>0</v>
      </c>
    </row>
    <row r="25" spans="1:12">
      <c r="A25" s="1"/>
      <c r="B25" s="7" t="s">
        <v>12</v>
      </c>
      <c r="C25" s="57">
        <f t="shared" ref="C25:L25" si="2">SUM(C5:C24)</f>
        <v>292782.96999999997</v>
      </c>
      <c r="D25" s="12">
        <f t="shared" si="2"/>
        <v>830152.41000000015</v>
      </c>
      <c r="E25" s="58">
        <f t="shared" si="2"/>
        <v>287981.14999999997</v>
      </c>
      <c r="F25" s="12">
        <f t="shared" si="2"/>
        <v>1035726.54</v>
      </c>
      <c r="G25" s="12">
        <f t="shared" si="2"/>
        <v>-4801.8200000000006</v>
      </c>
      <c r="H25" s="13">
        <f t="shared" si="2"/>
        <v>205574.13000000003</v>
      </c>
      <c r="I25" s="13">
        <f t="shared" si="2"/>
        <v>0</v>
      </c>
      <c r="J25" s="13">
        <f t="shared" si="2"/>
        <v>0</v>
      </c>
      <c r="K25" s="12">
        <f t="shared" si="2"/>
        <v>0</v>
      </c>
      <c r="L25" s="12">
        <f t="shared" si="2"/>
        <v>0</v>
      </c>
    </row>
    <row r="27" spans="1:12" hidden="1"/>
    <row r="28" spans="1:12" hidden="1">
      <c r="I28" s="20"/>
    </row>
    <row r="29" spans="1:12" hidden="1"/>
    <row r="30" spans="1:12">
      <c r="B30" s="1" t="s">
        <v>35</v>
      </c>
      <c r="C30" s="9">
        <f>C11+C12+C13+C17+C19+C20+C24</f>
        <v>29538.560000000001</v>
      </c>
      <c r="D30" s="9">
        <f t="shared" ref="D30:J30" si="3">D11+D12+D13+D17+D19+D20+D24</f>
        <v>87173.62</v>
      </c>
      <c r="E30" s="9">
        <f t="shared" si="3"/>
        <v>28871.05</v>
      </c>
      <c r="F30" s="9">
        <f t="shared" si="3"/>
        <v>107784.27</v>
      </c>
      <c r="G30" s="9">
        <f t="shared" si="3"/>
        <v>-667.51000000000033</v>
      </c>
      <c r="H30" s="9">
        <f t="shared" si="3"/>
        <v>20610.650000000005</v>
      </c>
      <c r="I30" s="9">
        <f t="shared" si="3"/>
        <v>0</v>
      </c>
      <c r="J30" s="9">
        <f t="shared" si="3"/>
        <v>0</v>
      </c>
    </row>
    <row r="31" spans="1:12">
      <c r="B31" s="1" t="s">
        <v>36</v>
      </c>
      <c r="C31" s="9">
        <f>C10+C22</f>
        <v>98417.73000000001</v>
      </c>
      <c r="D31" s="9">
        <f t="shared" ref="D31:J31" si="4">D10+D22</f>
        <v>248498.75</v>
      </c>
      <c r="E31" s="9">
        <f t="shared" si="4"/>
        <v>100448.28</v>
      </c>
      <c r="F31" s="9">
        <f t="shared" si="4"/>
        <v>329528.95</v>
      </c>
      <c r="G31" s="9">
        <f t="shared" si="4"/>
        <v>2030.5500000000029</v>
      </c>
      <c r="H31" s="9">
        <f t="shared" si="4"/>
        <v>81030.2</v>
      </c>
      <c r="I31" s="9">
        <f t="shared" si="4"/>
        <v>0</v>
      </c>
      <c r="J31" s="9">
        <f t="shared" si="4"/>
        <v>0</v>
      </c>
    </row>
    <row r="32" spans="1:12">
      <c r="B32" s="1" t="s">
        <v>37</v>
      </c>
      <c r="C32" s="9">
        <f>C6+C7+C23+C21</f>
        <v>106443.25</v>
      </c>
      <c r="D32" s="9">
        <f t="shared" ref="D32:J32" si="5">D6+D7+D23+D21</f>
        <v>319329.75</v>
      </c>
      <c r="E32" s="9">
        <f t="shared" si="5"/>
        <v>102493.51</v>
      </c>
      <c r="F32" s="9">
        <f t="shared" si="5"/>
        <v>385754.88</v>
      </c>
      <c r="G32" s="9">
        <f t="shared" si="5"/>
        <v>-3949.7400000000052</v>
      </c>
      <c r="H32" s="9">
        <f t="shared" si="5"/>
        <v>66425.13</v>
      </c>
      <c r="I32" s="9">
        <f t="shared" si="5"/>
        <v>0</v>
      </c>
      <c r="J32" s="9">
        <f t="shared" si="5"/>
        <v>0</v>
      </c>
    </row>
    <row r="38" spans="8:9">
      <c r="H38">
        <v>46777.120000000003</v>
      </c>
      <c r="I38">
        <v>49557.85</v>
      </c>
    </row>
    <row r="39" spans="8:9">
      <c r="H39">
        <v>246005.85</v>
      </c>
      <c r="I39">
        <v>238423.3</v>
      </c>
    </row>
    <row r="40" spans="8:9">
      <c r="H40" s="11">
        <f>H38+H39</f>
        <v>292782.97000000003</v>
      </c>
      <c r="I40" s="11">
        <f>I38+I39</f>
        <v>287981.14999999997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5"/>
  <sheetViews>
    <sheetView workbookViewId="0">
      <selection activeCell="C37" sqref="C37"/>
    </sheetView>
  </sheetViews>
  <sheetFormatPr defaultRowHeight="12.75"/>
  <cols>
    <col min="1" max="1" width="4" customWidth="1"/>
    <col min="2" max="2" width="30.85546875" customWidth="1"/>
    <col min="3" max="3" width="10.85546875" customWidth="1"/>
    <col min="4" max="4" width="11.7109375" customWidth="1"/>
    <col min="5" max="5" width="11.140625" customWidth="1"/>
    <col min="6" max="6" width="11.42578125" customWidth="1"/>
    <col min="7" max="7" width="10.140625" bestFit="1" customWidth="1"/>
    <col min="8" max="8" width="10.5703125" customWidth="1"/>
    <col min="9" max="9" width="11.7109375" customWidth="1"/>
    <col min="10" max="10" width="11.5703125" customWidth="1"/>
    <col min="11" max="11" width="9.42578125" bestFit="1" customWidth="1"/>
    <col min="12" max="12" width="11.85546875" customWidth="1"/>
  </cols>
  <sheetData>
    <row r="2" spans="1:12" s="27" customFormat="1" ht="38.25">
      <c r="A2" s="21" t="s">
        <v>0</v>
      </c>
      <c r="B2" s="22" t="s">
        <v>1</v>
      </c>
      <c r="C2" s="23" t="s">
        <v>2</v>
      </c>
      <c r="D2" s="22" t="s">
        <v>3</v>
      </c>
      <c r="E2" s="55" t="s">
        <v>4</v>
      </c>
      <c r="F2" s="22" t="s">
        <v>5</v>
      </c>
      <c r="G2" s="22" t="s">
        <v>6</v>
      </c>
      <c r="H2" s="25" t="s">
        <v>7</v>
      </c>
      <c r="I2" s="25" t="s">
        <v>8</v>
      </c>
      <c r="J2" s="26" t="s">
        <v>9</v>
      </c>
      <c r="K2" s="22" t="s">
        <v>10</v>
      </c>
      <c r="L2" s="24" t="s">
        <v>11</v>
      </c>
    </row>
    <row r="3" spans="1:12" ht="16.5" customHeight="1">
      <c r="A3" s="1">
        <v>1</v>
      </c>
      <c r="B3" s="28" t="str">
        <f>апрель!B5</f>
        <v>Содержание общ.имущ.дома</v>
      </c>
      <c r="C3" s="8">
        <f>25655.35+4516.68</f>
        <v>30172.03</v>
      </c>
      <c r="D3" s="12">
        <f>C3+апрель!D5</f>
        <v>120688.12</v>
      </c>
      <c r="E3" s="9">
        <f>4227.43+21522.73</f>
        <v>25750.16</v>
      </c>
      <c r="F3" s="12">
        <f>E3+апрель!F5</f>
        <v>135284.58000000002</v>
      </c>
      <c r="G3" s="12">
        <f>E3-C3</f>
        <v>-4421.869999999999</v>
      </c>
      <c r="H3" s="13">
        <f>F3-D3</f>
        <v>14596.460000000021</v>
      </c>
      <c r="I3" s="9"/>
      <c r="J3" s="13">
        <f>I3+апрель!J5</f>
        <v>0</v>
      </c>
      <c r="K3" s="8"/>
      <c r="L3" s="12">
        <f>K3+апрель!L5</f>
        <v>0</v>
      </c>
    </row>
    <row r="4" spans="1:12">
      <c r="A4" s="1">
        <f>A3+1</f>
        <v>2</v>
      </c>
      <c r="B4" s="28" t="str">
        <f>апрель!B6</f>
        <v>Отопление</v>
      </c>
      <c r="C4" s="8">
        <f>15934.24+90509.01</f>
        <v>106443.25</v>
      </c>
      <c r="D4" s="12">
        <f>C4+апрель!D6</f>
        <v>425773</v>
      </c>
      <c r="E4" s="9">
        <f>14883.12+75661.67</f>
        <v>90544.79</v>
      </c>
      <c r="F4" s="12">
        <f>E4+апрель!F6</f>
        <v>476299.67</v>
      </c>
      <c r="G4" s="12">
        <f t="shared" ref="G4:H22" si="0">E4-C4</f>
        <v>-15898.460000000006</v>
      </c>
      <c r="H4" s="13">
        <f t="shared" si="0"/>
        <v>50526.669999999984</v>
      </c>
      <c r="I4" s="9"/>
      <c r="J4" s="13">
        <f>I4+апрель!J6</f>
        <v>0</v>
      </c>
      <c r="K4" s="8"/>
      <c r="L4" s="12">
        <f>K4+апрель!L6</f>
        <v>0</v>
      </c>
    </row>
    <row r="5" spans="1:12">
      <c r="A5" s="1">
        <f t="shared" ref="A5:A22" si="1">A4+1</f>
        <v>3</v>
      </c>
      <c r="B5" s="28" t="str">
        <f>апрель!B7</f>
        <v>Горячее водоснабжение</v>
      </c>
      <c r="C5" s="8">
        <f>0+0</f>
        <v>0</v>
      </c>
      <c r="D5" s="12">
        <f>C5+апрель!D7</f>
        <v>0</v>
      </c>
      <c r="E5" s="9">
        <f>0+0</f>
        <v>0</v>
      </c>
      <c r="F5" s="12">
        <f>E5+апрель!F7</f>
        <v>0</v>
      </c>
      <c r="G5" s="12">
        <f t="shared" si="0"/>
        <v>0</v>
      </c>
      <c r="H5" s="13">
        <f t="shared" si="0"/>
        <v>0</v>
      </c>
      <c r="I5" s="9"/>
      <c r="J5" s="13">
        <f>I5+апрель!J7</f>
        <v>0</v>
      </c>
      <c r="K5" s="8"/>
      <c r="L5" s="12">
        <f>K5+апрель!L7</f>
        <v>0</v>
      </c>
    </row>
    <row r="6" spans="1:12">
      <c r="A6" s="1">
        <f t="shared" si="1"/>
        <v>4</v>
      </c>
      <c r="B6" s="28" t="str">
        <f>апрель!B8</f>
        <v>Газ</v>
      </c>
      <c r="C6" s="8">
        <f>0+0</f>
        <v>0</v>
      </c>
      <c r="D6" s="12">
        <f>C6+апрель!D8</f>
        <v>0</v>
      </c>
      <c r="E6" s="9">
        <f>0+0</f>
        <v>0</v>
      </c>
      <c r="F6" s="12">
        <f>E6+апрель!F8</f>
        <v>0</v>
      </c>
      <c r="G6" s="12">
        <f t="shared" si="0"/>
        <v>0</v>
      </c>
      <c r="H6" s="13">
        <f t="shared" si="0"/>
        <v>0</v>
      </c>
      <c r="I6" s="9"/>
      <c r="J6" s="13">
        <f>I6+апрель!J8</f>
        <v>0</v>
      </c>
      <c r="K6" s="8"/>
      <c r="L6" s="12">
        <f>K6+апрель!L8</f>
        <v>0</v>
      </c>
    </row>
    <row r="7" spans="1:12" ht="15" customHeight="1">
      <c r="A7" s="1">
        <f t="shared" si="1"/>
        <v>5</v>
      </c>
      <c r="B7" s="28" t="str">
        <f>апрель!B9</f>
        <v>Уборка и сан.очистка зем.уч.</v>
      </c>
      <c r="C7" s="8">
        <f>619.61+3519.5</f>
        <v>4139.1099999999997</v>
      </c>
      <c r="D7" s="12">
        <f>C7+апрель!D9</f>
        <v>16556.439999999999</v>
      </c>
      <c r="E7" s="9">
        <f>2954.21+580.55</f>
        <v>3534.76</v>
      </c>
      <c r="F7" s="12">
        <f>E7+апрель!F9</f>
        <v>18667</v>
      </c>
      <c r="G7" s="12">
        <f t="shared" si="0"/>
        <v>-604.34999999999945</v>
      </c>
      <c r="H7" s="13">
        <f t="shared" si="0"/>
        <v>2110.5600000000013</v>
      </c>
      <c r="I7" s="9"/>
      <c r="J7" s="13">
        <f>I7+апрель!J9</f>
        <v>0</v>
      </c>
      <c r="K7" s="8"/>
      <c r="L7" s="12">
        <f>K7+апрель!L9</f>
        <v>0</v>
      </c>
    </row>
    <row r="8" spans="1:12" ht="14.25" customHeight="1">
      <c r="A8" s="1">
        <f t="shared" si="1"/>
        <v>6</v>
      </c>
      <c r="B8" s="28" t="str">
        <f>апрель!B10</f>
        <v>Электроснабжение (инд.потр)</v>
      </c>
      <c r="C8" s="8">
        <f>6695.48+28080.03</f>
        <v>34775.509999999995</v>
      </c>
      <c r="D8" s="12">
        <f>C8+апрель!D10</f>
        <v>139795.72</v>
      </c>
      <c r="E8" s="9">
        <f>22682.52+6912.99</f>
        <v>29595.510000000002</v>
      </c>
      <c r="F8" s="12">
        <f>E8+апрель!F10</f>
        <v>159003.09</v>
      </c>
      <c r="G8" s="12">
        <f t="shared" si="0"/>
        <v>-5179.9999999999927</v>
      </c>
      <c r="H8" s="13">
        <f t="shared" si="0"/>
        <v>19207.369999999995</v>
      </c>
      <c r="I8" s="9"/>
      <c r="J8" s="13">
        <f>I8+апрель!J10</f>
        <v>0</v>
      </c>
      <c r="K8" s="8"/>
      <c r="L8" s="12">
        <f>K8+апрель!L10</f>
        <v>0</v>
      </c>
    </row>
    <row r="9" spans="1:12">
      <c r="A9" s="1">
        <f t="shared" si="1"/>
        <v>7</v>
      </c>
      <c r="B9" s="28" t="str">
        <f>апрель!B11</f>
        <v>Хол.вода</v>
      </c>
      <c r="C9" s="8">
        <f>2999.38+11329.14</f>
        <v>14328.52</v>
      </c>
      <c r="D9" s="12">
        <f>C9+апрель!D11</f>
        <v>57659.58</v>
      </c>
      <c r="E9" s="9">
        <f>9366.03+2922.29</f>
        <v>12288.32</v>
      </c>
      <c r="F9" s="12">
        <f>E9+апрель!F11</f>
        <v>65869.11</v>
      </c>
      <c r="G9" s="12">
        <f t="shared" si="0"/>
        <v>-2040.2000000000007</v>
      </c>
      <c r="H9" s="13">
        <f t="shared" si="0"/>
        <v>8209.5299999999988</v>
      </c>
      <c r="I9" s="9"/>
      <c r="J9" s="13">
        <f>I9+апрель!J11</f>
        <v>0</v>
      </c>
      <c r="K9" s="8"/>
      <c r="L9" s="12">
        <f>K9+апрель!L11</f>
        <v>0</v>
      </c>
    </row>
    <row r="10" spans="1:12">
      <c r="A10" s="1">
        <f t="shared" si="1"/>
        <v>8</v>
      </c>
      <c r="B10" s="28" t="str">
        <f>апрель!B12</f>
        <v>Канализир.х.воды</v>
      </c>
      <c r="C10" s="8">
        <f>0+0</f>
        <v>0</v>
      </c>
      <c r="D10" s="12">
        <f>C10+апрель!D12</f>
        <v>0</v>
      </c>
      <c r="E10" s="9">
        <f>0+0</f>
        <v>0</v>
      </c>
      <c r="F10" s="12">
        <f>E10+апрель!F12</f>
        <v>0</v>
      </c>
      <c r="G10" s="12">
        <f t="shared" si="0"/>
        <v>0</v>
      </c>
      <c r="H10" s="13">
        <f t="shared" si="0"/>
        <v>0</v>
      </c>
      <c r="I10" s="9"/>
      <c r="J10" s="13">
        <f>I10+апрель!J12</f>
        <v>0</v>
      </c>
      <c r="K10" s="8"/>
      <c r="L10" s="12">
        <f>K10+апрель!L12</f>
        <v>0</v>
      </c>
    </row>
    <row r="11" spans="1:12">
      <c r="A11" s="1">
        <f t="shared" si="1"/>
        <v>9</v>
      </c>
      <c r="B11" s="28" t="str">
        <f>апрель!B13</f>
        <v>Канализир.г.воды</v>
      </c>
      <c r="C11" s="8">
        <f>0+0</f>
        <v>0</v>
      </c>
      <c r="D11" s="12">
        <f>C11+апрель!D13</f>
        <v>0</v>
      </c>
      <c r="E11" s="9">
        <f>0+0</f>
        <v>0</v>
      </c>
      <c r="F11" s="12">
        <f>E11+апрель!F13</f>
        <v>0</v>
      </c>
      <c r="G11" s="12">
        <f t="shared" si="0"/>
        <v>0</v>
      </c>
      <c r="H11" s="13">
        <f t="shared" si="0"/>
        <v>0</v>
      </c>
      <c r="I11" s="9"/>
      <c r="J11" s="13">
        <f>I11+апрель!J13</f>
        <v>0</v>
      </c>
      <c r="K11" s="8"/>
      <c r="L11" s="12">
        <f>K11+апрель!L13</f>
        <v>0</v>
      </c>
    </row>
    <row r="12" spans="1:12">
      <c r="A12" s="1">
        <f t="shared" si="1"/>
        <v>10</v>
      </c>
      <c r="B12" s="28" t="str">
        <f>апрель!B14</f>
        <v>Тек.рем.общ.имущ.дома</v>
      </c>
      <c r="C12" s="8">
        <f>2380.64+13522.33</f>
        <v>15902.97</v>
      </c>
      <c r="D12" s="12">
        <f>C12+апрель!D14</f>
        <v>63611.880000000005</v>
      </c>
      <c r="E12" s="9">
        <f>11350.06+2230.6</f>
        <v>13580.66</v>
      </c>
      <c r="F12" s="12">
        <f>E12+апрель!F14</f>
        <v>71718.399999999994</v>
      </c>
      <c r="G12" s="12">
        <f t="shared" si="0"/>
        <v>-2322.3099999999995</v>
      </c>
      <c r="H12" s="13">
        <f t="shared" si="0"/>
        <v>8106.5199999999895</v>
      </c>
      <c r="I12" s="9"/>
      <c r="J12" s="13">
        <f>I12+апрель!J14</f>
        <v>0</v>
      </c>
      <c r="K12" s="8"/>
      <c r="L12" s="12">
        <f>K12+апрель!L14</f>
        <v>0</v>
      </c>
    </row>
    <row r="13" spans="1:12" ht="14.25" customHeight="1">
      <c r="A13" s="1">
        <f t="shared" si="1"/>
        <v>11</v>
      </c>
      <c r="B13" s="28" t="str">
        <f>апрель!B15</f>
        <v>Сод.и тек.рем.в/дом.газосн.</v>
      </c>
      <c r="C13" s="8">
        <f>264.98+1505.12</f>
        <v>1770.1</v>
      </c>
      <c r="D13" s="12">
        <f>C13+апрель!D15</f>
        <v>7080.4</v>
      </c>
      <c r="E13" s="9">
        <f>1263.35+247.8</f>
        <v>1511.1499999999999</v>
      </c>
      <c r="F13" s="12">
        <f>E13+апрель!F15</f>
        <v>7982.15</v>
      </c>
      <c r="G13" s="12">
        <f t="shared" si="0"/>
        <v>-258.95000000000005</v>
      </c>
      <c r="H13" s="13">
        <f t="shared" si="0"/>
        <v>901.75</v>
      </c>
      <c r="I13" s="9"/>
      <c r="J13" s="13">
        <f>I13+апрель!J15</f>
        <v>0</v>
      </c>
      <c r="K13" s="8"/>
      <c r="L13" s="12">
        <f>K13+апрель!L15</f>
        <v>0</v>
      </c>
    </row>
    <row r="14" spans="1:12" ht="17.25" customHeight="1">
      <c r="A14" s="1">
        <f t="shared" si="1"/>
        <v>12</v>
      </c>
      <c r="B14" s="28" t="str">
        <f>апрель!B16</f>
        <v>Управление многокв.дом.</v>
      </c>
      <c r="C14" s="8">
        <f>933.5+5302.38</f>
        <v>6235.88</v>
      </c>
      <c r="D14" s="12">
        <f>C14+апрель!D16</f>
        <v>24943.52</v>
      </c>
      <c r="E14" s="9">
        <f>4449.68+872.13</f>
        <v>5321.81</v>
      </c>
      <c r="F14" s="12">
        <f>E14+апрель!F16</f>
        <v>28107.29</v>
      </c>
      <c r="G14" s="12">
        <f t="shared" si="0"/>
        <v>-914.06999999999971</v>
      </c>
      <c r="H14" s="13">
        <f t="shared" si="0"/>
        <v>3163.7700000000004</v>
      </c>
      <c r="I14" s="9"/>
      <c r="J14" s="13">
        <f>I14+апрель!J16</f>
        <v>0</v>
      </c>
      <c r="K14" s="8"/>
      <c r="L14" s="12">
        <f>K14+апрель!L16</f>
        <v>0</v>
      </c>
    </row>
    <row r="15" spans="1:12">
      <c r="A15" s="1">
        <f t="shared" si="1"/>
        <v>13</v>
      </c>
      <c r="B15" s="28" t="str">
        <f>апрель!B17</f>
        <v>Водоотведение(кв)</v>
      </c>
      <c r="C15" s="8">
        <f>2999.38+11329.14</f>
        <v>14328.52</v>
      </c>
      <c r="D15" s="12">
        <f>C15+апрель!D17</f>
        <v>57659.58</v>
      </c>
      <c r="E15" s="9">
        <f>9366.03+2922.29</f>
        <v>12288.32</v>
      </c>
      <c r="F15" s="12">
        <f>E15+апрель!F17</f>
        <v>65869.11</v>
      </c>
      <c r="G15" s="12">
        <f t="shared" si="0"/>
        <v>-2040.2000000000007</v>
      </c>
      <c r="H15" s="13">
        <f t="shared" si="0"/>
        <v>8209.5299999999988</v>
      </c>
      <c r="I15" s="9"/>
      <c r="J15" s="13">
        <f>I15+апрель!J17</f>
        <v>0</v>
      </c>
      <c r="K15" s="8"/>
      <c r="L15" s="12">
        <f>K15+апрель!L17</f>
        <v>0</v>
      </c>
    </row>
    <row r="16" spans="1:12" ht="15" customHeight="1">
      <c r="A16" s="1">
        <f t="shared" si="1"/>
        <v>14</v>
      </c>
      <c r="B16" s="28" t="str">
        <f>апрель!B18</f>
        <v>Эксплуатация общедом.ПУ</v>
      </c>
      <c r="C16" s="8">
        <f>24.46+138.88</f>
        <v>163.34</v>
      </c>
      <c r="D16" s="12">
        <f>C16+апрель!D18</f>
        <v>653.36</v>
      </c>
      <c r="E16" s="9">
        <f>116.59+22.74</f>
        <v>139.33000000000001</v>
      </c>
      <c r="F16" s="12">
        <f>E16+апрель!F18</f>
        <v>736.8900000000001</v>
      </c>
      <c r="G16" s="12">
        <f t="shared" si="0"/>
        <v>-24.009999999999991</v>
      </c>
      <c r="H16" s="13">
        <f t="shared" si="0"/>
        <v>83.530000000000086</v>
      </c>
      <c r="I16" s="9"/>
      <c r="J16" s="13">
        <f>I16+апрель!J18</f>
        <v>0</v>
      </c>
      <c r="K16" s="8"/>
      <c r="L16" s="12">
        <f>K16+апрель!L18</f>
        <v>0</v>
      </c>
    </row>
    <row r="17" spans="1:12" ht="15.75" customHeight="1">
      <c r="A17" s="1">
        <f t="shared" si="1"/>
        <v>15</v>
      </c>
      <c r="B17" s="28" t="str">
        <f>апрель!B19</f>
        <v>Хол.водоснабж.(о/д нужды)</v>
      </c>
      <c r="C17" s="8">
        <f>25.69+144.81</f>
        <v>170.5</v>
      </c>
      <c r="D17" s="12">
        <f>C17+апрель!D19</f>
        <v>682</v>
      </c>
      <c r="E17" s="9">
        <f>121.99+23.78</f>
        <v>145.76999999999998</v>
      </c>
      <c r="F17" s="12">
        <f>E17+апрель!F19</f>
        <v>768.46</v>
      </c>
      <c r="G17" s="12">
        <f t="shared" si="0"/>
        <v>-24.730000000000018</v>
      </c>
      <c r="H17" s="13">
        <f t="shared" si="0"/>
        <v>86.460000000000036</v>
      </c>
      <c r="I17" s="9"/>
      <c r="J17" s="13">
        <f>I17+апрель!J19</f>
        <v>0</v>
      </c>
      <c r="K17" s="8"/>
      <c r="L17" s="12">
        <f>K17+апрель!L19</f>
        <v>0</v>
      </c>
    </row>
    <row r="18" spans="1:12" ht="15.75" customHeight="1">
      <c r="A18" s="1">
        <f t="shared" si="1"/>
        <v>16</v>
      </c>
      <c r="B18" s="28" t="str">
        <f>апрель!B20</f>
        <v>Водоотведение(о/д нужды)</v>
      </c>
      <c r="C18" s="8">
        <f>0+0</f>
        <v>0</v>
      </c>
      <c r="D18" s="12">
        <f>C18+апрель!D20</f>
        <v>0</v>
      </c>
      <c r="E18" s="9">
        <f>0+0</f>
        <v>0</v>
      </c>
      <c r="F18" s="12">
        <f>E18+апрель!F20</f>
        <v>0</v>
      </c>
      <c r="G18" s="12">
        <f t="shared" si="0"/>
        <v>0</v>
      </c>
      <c r="H18" s="13">
        <f t="shared" si="0"/>
        <v>0</v>
      </c>
      <c r="I18" s="9"/>
      <c r="J18" s="13">
        <f>I18+апрель!J20</f>
        <v>0</v>
      </c>
      <c r="K18" s="8"/>
      <c r="L18" s="12">
        <f>K18+апрель!L20</f>
        <v>0</v>
      </c>
    </row>
    <row r="19" spans="1:12">
      <c r="A19" s="1">
        <f t="shared" si="1"/>
        <v>17</v>
      </c>
      <c r="B19" s="28" t="str">
        <f>апрель!B21</f>
        <v>Отопление(о/д нужды)</v>
      </c>
      <c r="C19" s="8">
        <f>0+0</f>
        <v>0</v>
      </c>
      <c r="D19" s="12">
        <f>C19+апрель!D21</f>
        <v>0</v>
      </c>
      <c r="E19" s="9">
        <f>0+0</f>
        <v>0</v>
      </c>
      <c r="F19" s="12">
        <f>E19+апрель!F21</f>
        <v>0</v>
      </c>
      <c r="G19" s="12">
        <f t="shared" si="0"/>
        <v>0</v>
      </c>
      <c r="H19" s="13">
        <f t="shared" si="0"/>
        <v>0</v>
      </c>
      <c r="I19" s="9"/>
      <c r="J19" s="13">
        <f>I19+апрель!J21</f>
        <v>0</v>
      </c>
      <c r="K19" s="8"/>
      <c r="L19" s="12">
        <f>K19+апрель!L21</f>
        <v>0</v>
      </c>
    </row>
    <row r="20" spans="1:12" ht="15.75" customHeight="1">
      <c r="A20" s="1">
        <f t="shared" si="1"/>
        <v>18</v>
      </c>
      <c r="B20" s="28" t="str">
        <f>апрель!B22</f>
        <v>Электроснабжение(общед.нужды)</v>
      </c>
      <c r="C20" s="8">
        <f>10915.6+63425.91</f>
        <v>74341.510000000009</v>
      </c>
      <c r="D20" s="12">
        <f>C20+апрель!D22</f>
        <v>217820.05000000002</v>
      </c>
      <c r="E20" s="9">
        <f>45536.2+8515.8</f>
        <v>54052</v>
      </c>
      <c r="F20" s="12">
        <f>E20+апрель!F22</f>
        <v>254173.37000000002</v>
      </c>
      <c r="G20" s="12">
        <f t="shared" si="0"/>
        <v>-20289.510000000009</v>
      </c>
      <c r="H20" s="13">
        <f t="shared" si="0"/>
        <v>36353.320000000007</v>
      </c>
      <c r="I20" s="9"/>
      <c r="J20" s="13">
        <f>I20+апрель!J22</f>
        <v>0</v>
      </c>
      <c r="K20" s="8"/>
      <c r="L20" s="12">
        <f>K20+апрель!L22</f>
        <v>0</v>
      </c>
    </row>
    <row r="21" spans="1:12" ht="15" customHeight="1">
      <c r="A21" s="1">
        <f t="shared" si="1"/>
        <v>19</v>
      </c>
      <c r="B21" s="28" t="str">
        <f>апрель!B23</f>
        <v>Горячее водоснабж.(о/д нужды)</v>
      </c>
      <c r="C21" s="8">
        <f>0+0</f>
        <v>0</v>
      </c>
      <c r="D21" s="12">
        <f>C21+апрель!D23</f>
        <v>0</v>
      </c>
      <c r="E21" s="9">
        <f>0+0</f>
        <v>0</v>
      </c>
      <c r="F21" s="12">
        <f>E21+апрель!F23</f>
        <v>0</v>
      </c>
      <c r="G21" s="12">
        <f t="shared" si="0"/>
        <v>0</v>
      </c>
      <c r="H21" s="13">
        <f t="shared" si="0"/>
        <v>0</v>
      </c>
      <c r="I21" s="9"/>
      <c r="J21" s="13">
        <f>I21+апрель!J23</f>
        <v>0</v>
      </c>
      <c r="K21" s="8"/>
      <c r="L21" s="12">
        <f>K21+апрель!L23</f>
        <v>0</v>
      </c>
    </row>
    <row r="22" spans="1:12">
      <c r="A22" s="1">
        <f t="shared" si="1"/>
        <v>20</v>
      </c>
      <c r="B22" s="28">
        <f>апрель!B24</f>
        <v>0</v>
      </c>
      <c r="C22" s="8"/>
      <c r="D22" s="12">
        <f>C22+апрель!D24</f>
        <v>0</v>
      </c>
      <c r="E22" s="9"/>
      <c r="F22" s="12">
        <f>E22+апрель!F24</f>
        <v>0</v>
      </c>
      <c r="G22" s="12">
        <f t="shared" si="0"/>
        <v>0</v>
      </c>
      <c r="H22" s="13">
        <f t="shared" si="0"/>
        <v>0</v>
      </c>
      <c r="I22" s="9"/>
      <c r="J22" s="13">
        <f>I22+апрель!J24</f>
        <v>0</v>
      </c>
      <c r="K22" s="8"/>
      <c r="L22" s="12">
        <f>K22+апрель!L24</f>
        <v>0</v>
      </c>
    </row>
    <row r="23" spans="1:12">
      <c r="A23" s="1"/>
      <c r="B23" s="17" t="s">
        <v>12</v>
      </c>
      <c r="C23" s="57">
        <f t="shared" ref="C23:L23" si="2">SUM(C3:C22)</f>
        <v>302771.24</v>
      </c>
      <c r="D23" s="12">
        <f t="shared" si="2"/>
        <v>1132923.6499999999</v>
      </c>
      <c r="E23" s="58">
        <f t="shared" si="2"/>
        <v>248752.58</v>
      </c>
      <c r="F23" s="12">
        <f t="shared" si="2"/>
        <v>1284479.1200000001</v>
      </c>
      <c r="G23" s="12">
        <f t="shared" si="2"/>
        <v>-54018.660000000011</v>
      </c>
      <c r="H23" s="13">
        <f t="shared" si="2"/>
        <v>151555.47</v>
      </c>
      <c r="I23" s="13">
        <f t="shared" si="2"/>
        <v>0</v>
      </c>
      <c r="J23" s="13">
        <f t="shared" si="2"/>
        <v>0</v>
      </c>
      <c r="K23" s="12">
        <f t="shared" si="2"/>
        <v>0</v>
      </c>
      <c r="L23" s="12">
        <f t="shared" si="2"/>
        <v>0</v>
      </c>
    </row>
    <row r="24" spans="1:12" ht="3.75" customHeight="1"/>
    <row r="25" spans="1:12" hidden="1"/>
    <row r="26" spans="1:12" hidden="1"/>
    <row r="27" spans="1:12" hidden="1"/>
    <row r="28" spans="1:12">
      <c r="B28" s="1" t="s">
        <v>35</v>
      </c>
      <c r="C28" s="9">
        <f>C9+C10+C11+C15+C17+C18+C22</f>
        <v>28827.54</v>
      </c>
      <c r="D28" s="9">
        <f t="shared" ref="D28:J28" si="3">D9+D10+D11+D15+D17+D18+D22</f>
        <v>116001.16</v>
      </c>
      <c r="E28" s="9">
        <f t="shared" si="3"/>
        <v>24722.41</v>
      </c>
      <c r="F28" s="9">
        <f t="shared" si="3"/>
        <v>132506.68</v>
      </c>
      <c r="G28" s="9">
        <f t="shared" si="3"/>
        <v>-4105.130000000001</v>
      </c>
      <c r="H28" s="9">
        <f t="shared" si="3"/>
        <v>16505.519999999997</v>
      </c>
      <c r="I28" s="9">
        <f t="shared" si="3"/>
        <v>0</v>
      </c>
      <c r="J28" s="9">
        <f t="shared" si="3"/>
        <v>0</v>
      </c>
    </row>
    <row r="29" spans="1:12">
      <c r="B29" s="1" t="s">
        <v>36</v>
      </c>
      <c r="C29" s="9">
        <f>C8+C20</f>
        <v>109117.02</v>
      </c>
      <c r="D29" s="9">
        <f t="shared" ref="D29:J29" si="4">D8+D20</f>
        <v>357615.77</v>
      </c>
      <c r="E29" s="9">
        <f t="shared" si="4"/>
        <v>83647.510000000009</v>
      </c>
      <c r="F29" s="9">
        <f t="shared" si="4"/>
        <v>413176.46</v>
      </c>
      <c r="G29" s="9">
        <f t="shared" si="4"/>
        <v>-25469.510000000002</v>
      </c>
      <c r="H29" s="9">
        <f t="shared" si="4"/>
        <v>55560.69</v>
      </c>
      <c r="I29" s="9">
        <f t="shared" si="4"/>
        <v>0</v>
      </c>
      <c r="J29" s="9">
        <f t="shared" si="4"/>
        <v>0</v>
      </c>
    </row>
    <row r="30" spans="1:12">
      <c r="B30" s="1" t="s">
        <v>37</v>
      </c>
      <c r="C30" s="9">
        <f>C4+C5+C21+C19</f>
        <v>106443.25</v>
      </c>
      <c r="D30" s="9">
        <f t="shared" ref="D30:J30" si="5">D4+D5+D21+D19</f>
        <v>425773</v>
      </c>
      <c r="E30" s="9">
        <f t="shared" si="5"/>
        <v>90544.79</v>
      </c>
      <c r="F30" s="9">
        <f t="shared" si="5"/>
        <v>476299.67</v>
      </c>
      <c r="G30" s="9">
        <f t="shared" si="5"/>
        <v>-15898.460000000006</v>
      </c>
      <c r="H30" s="9">
        <f t="shared" si="5"/>
        <v>50526.669999999984</v>
      </c>
      <c r="I30" s="9">
        <f t="shared" si="5"/>
        <v>0</v>
      </c>
      <c r="J30" s="9">
        <f t="shared" si="5"/>
        <v>0</v>
      </c>
    </row>
    <row r="33" spans="9:10">
      <c r="I33">
        <v>254461.6</v>
      </c>
      <c r="J33">
        <v>204391.06</v>
      </c>
    </row>
    <row r="34" spans="9:10">
      <c r="I34">
        <v>48309.64</v>
      </c>
      <c r="J34">
        <v>44361.52</v>
      </c>
    </row>
    <row r="35" spans="9:10">
      <c r="I35" s="11">
        <f>I33+I34</f>
        <v>302771.24</v>
      </c>
      <c r="J35" s="11">
        <f>J33+J34</f>
        <v>248752.58</v>
      </c>
    </row>
  </sheetData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7"/>
  <sheetViews>
    <sheetView workbookViewId="0">
      <selection activeCell="C37" sqref="C37"/>
    </sheetView>
  </sheetViews>
  <sheetFormatPr defaultRowHeight="12.75"/>
  <cols>
    <col min="1" max="1" width="2.85546875" style="10" customWidth="1"/>
    <col min="2" max="2" width="32.140625" customWidth="1"/>
    <col min="3" max="3" width="11.140625" customWidth="1"/>
    <col min="4" max="4" width="11.5703125" customWidth="1"/>
    <col min="5" max="5" width="11" customWidth="1"/>
    <col min="6" max="6" width="15.28515625" customWidth="1"/>
    <col min="7" max="7" width="13.85546875" customWidth="1"/>
    <col min="8" max="8" width="14.42578125" customWidth="1"/>
    <col min="9" max="9" width="10.85546875" customWidth="1"/>
    <col min="10" max="10" width="10.7109375" customWidth="1"/>
    <col min="11" max="11" width="9.28515625" bestFit="1" customWidth="1"/>
    <col min="12" max="12" width="10.85546875" customWidth="1"/>
  </cols>
  <sheetData>
    <row r="2" spans="1:12" s="27" customFormat="1" ht="38.25">
      <c r="A2" s="21" t="s">
        <v>0</v>
      </c>
      <c r="B2" s="22" t="s">
        <v>1</v>
      </c>
      <c r="C2" s="23" t="s">
        <v>2</v>
      </c>
      <c r="D2" s="24" t="s">
        <v>3</v>
      </c>
      <c r="E2" s="25" t="s">
        <v>4</v>
      </c>
      <c r="F2" s="24" t="s">
        <v>5</v>
      </c>
      <c r="G2" s="24" t="s">
        <v>6</v>
      </c>
      <c r="H2" s="26" t="s">
        <v>7</v>
      </c>
      <c r="I2" s="25" t="s">
        <v>8</v>
      </c>
      <c r="J2" s="26" t="s">
        <v>9</v>
      </c>
      <c r="K2" s="22" t="s">
        <v>10</v>
      </c>
      <c r="L2" s="24" t="s">
        <v>11</v>
      </c>
    </row>
    <row r="3" spans="1:12" ht="15.75" customHeight="1">
      <c r="A3" s="1">
        <v>1</v>
      </c>
      <c r="B3" s="28" t="str">
        <f>май!B3</f>
        <v>Содержание общ.имущ.дома</v>
      </c>
      <c r="C3" s="8">
        <f>4516.68+25655.35</f>
        <v>30172.03</v>
      </c>
      <c r="D3" s="12">
        <f>C3+май!D3</f>
        <v>150860.15</v>
      </c>
      <c r="E3" s="9">
        <f>3965.4+24128.18</f>
        <v>28093.58</v>
      </c>
      <c r="F3" s="12">
        <f>E3+май!F3</f>
        <v>163378.16000000003</v>
      </c>
      <c r="G3" s="12">
        <f>E3-C3</f>
        <v>-2078.4499999999971</v>
      </c>
      <c r="H3" s="13">
        <f>F3-D3</f>
        <v>12518.010000000038</v>
      </c>
      <c r="I3" s="9"/>
      <c r="J3" s="13">
        <f>I3+май!J3</f>
        <v>0</v>
      </c>
      <c r="K3" s="8"/>
      <c r="L3" s="12">
        <f>K3+май!L3</f>
        <v>0</v>
      </c>
    </row>
    <row r="4" spans="1:12">
      <c r="A4" s="1">
        <f>A3+1</f>
        <v>2</v>
      </c>
      <c r="B4" s="28" t="str">
        <f>май!B4</f>
        <v>Отопление</v>
      </c>
      <c r="C4" s="8">
        <f>0+0</f>
        <v>0</v>
      </c>
      <c r="D4" s="12">
        <f>C4+май!D4</f>
        <v>425773</v>
      </c>
      <c r="E4" s="9">
        <f>2710.26+30002.15</f>
        <v>32712.410000000003</v>
      </c>
      <c r="F4" s="12">
        <f>E4+май!F4</f>
        <v>509012.07999999996</v>
      </c>
      <c r="G4" s="12">
        <f t="shared" ref="G4:H22" si="0">E4-C4</f>
        <v>32712.410000000003</v>
      </c>
      <c r="H4" s="13">
        <f t="shared" si="0"/>
        <v>83239.079999999958</v>
      </c>
      <c r="I4" s="9"/>
      <c r="J4" s="13">
        <f>I4+май!J4</f>
        <v>0</v>
      </c>
      <c r="K4" s="8"/>
      <c r="L4" s="12">
        <f>K4+май!L4</f>
        <v>0</v>
      </c>
    </row>
    <row r="5" spans="1:12">
      <c r="A5" s="1">
        <f t="shared" ref="A5:A22" si="1">A4+1</f>
        <v>3</v>
      </c>
      <c r="B5" s="28" t="str">
        <f>май!B5</f>
        <v>Горячее водоснабжение</v>
      </c>
      <c r="C5" s="8">
        <f>0+0</f>
        <v>0</v>
      </c>
      <c r="D5" s="12">
        <f>C5+май!D5</f>
        <v>0</v>
      </c>
      <c r="E5" s="9">
        <f>0+0</f>
        <v>0</v>
      </c>
      <c r="F5" s="12">
        <f>E5+май!F5</f>
        <v>0</v>
      </c>
      <c r="G5" s="12">
        <f t="shared" si="0"/>
        <v>0</v>
      </c>
      <c r="H5" s="13">
        <f t="shared" si="0"/>
        <v>0</v>
      </c>
      <c r="I5" s="9"/>
      <c r="J5" s="13">
        <f>I5+май!J5</f>
        <v>0</v>
      </c>
      <c r="K5" s="8"/>
      <c r="L5" s="12">
        <f>K5+май!L5</f>
        <v>0</v>
      </c>
    </row>
    <row r="6" spans="1:12">
      <c r="A6" s="1">
        <f t="shared" si="1"/>
        <v>4</v>
      </c>
      <c r="B6" s="28" t="str">
        <f>май!B6</f>
        <v>Газ</v>
      </c>
      <c r="C6" s="8">
        <f>0+0</f>
        <v>0</v>
      </c>
      <c r="D6" s="12">
        <f>C6+май!D6</f>
        <v>0</v>
      </c>
      <c r="E6" s="9">
        <f>0+0</f>
        <v>0</v>
      </c>
      <c r="F6" s="12">
        <f>E6+май!F6</f>
        <v>0</v>
      </c>
      <c r="G6" s="12">
        <f t="shared" si="0"/>
        <v>0</v>
      </c>
      <c r="H6" s="13">
        <f t="shared" si="0"/>
        <v>0</v>
      </c>
      <c r="I6" s="9"/>
      <c r="J6" s="13">
        <f>I6+май!J6</f>
        <v>0</v>
      </c>
      <c r="K6" s="8"/>
      <c r="L6" s="12">
        <f>K6+май!L6</f>
        <v>0</v>
      </c>
    </row>
    <row r="7" spans="1:12" ht="13.5" customHeight="1">
      <c r="A7" s="1">
        <f t="shared" si="1"/>
        <v>5</v>
      </c>
      <c r="B7" s="28" t="str">
        <f>май!B7</f>
        <v>Уборка и сан.очистка зем.уч.</v>
      </c>
      <c r="C7" s="8">
        <f>619.61+3519.5</f>
        <v>4139.1099999999997</v>
      </c>
      <c r="D7" s="12">
        <f>C7+май!D7</f>
        <v>20695.55</v>
      </c>
      <c r="E7" s="9">
        <f>544.03+3316.49</f>
        <v>3860.5199999999995</v>
      </c>
      <c r="F7" s="12">
        <f>E7+май!F7</f>
        <v>22527.52</v>
      </c>
      <c r="G7" s="12">
        <f t="shared" si="0"/>
        <v>-278.59000000000015</v>
      </c>
      <c r="H7" s="13">
        <f t="shared" si="0"/>
        <v>1831.9700000000012</v>
      </c>
      <c r="I7" s="9"/>
      <c r="J7" s="13">
        <f>I7+май!J7</f>
        <v>0</v>
      </c>
      <c r="K7" s="8"/>
      <c r="L7" s="12">
        <f>K7+май!L7</f>
        <v>0</v>
      </c>
    </row>
    <row r="8" spans="1:12" ht="15" customHeight="1">
      <c r="A8" s="1">
        <f t="shared" si="1"/>
        <v>6</v>
      </c>
      <c r="B8" s="28" t="str">
        <f>май!B8</f>
        <v>Электроснабжение (инд.потр)</v>
      </c>
      <c r="C8" s="8">
        <f>6769.64+29480.06</f>
        <v>36249.700000000004</v>
      </c>
      <c r="D8" s="12">
        <f>C8+май!D8</f>
        <v>176045.42</v>
      </c>
      <c r="E8" s="9">
        <f>27107.97+6008.21</f>
        <v>33116.18</v>
      </c>
      <c r="F8" s="12">
        <f>E8+май!F8</f>
        <v>192119.27</v>
      </c>
      <c r="G8" s="12">
        <f t="shared" si="0"/>
        <v>-3133.5200000000041</v>
      </c>
      <c r="H8" s="13">
        <f t="shared" si="0"/>
        <v>16073.849999999977</v>
      </c>
      <c r="I8" s="9"/>
      <c r="J8" s="13">
        <f>I8+май!J8</f>
        <v>0</v>
      </c>
      <c r="K8" s="8"/>
      <c r="L8" s="12">
        <f>K8+май!L8</f>
        <v>0</v>
      </c>
    </row>
    <row r="9" spans="1:12">
      <c r="A9" s="1">
        <f t="shared" si="1"/>
        <v>7</v>
      </c>
      <c r="B9" s="28" t="str">
        <f>май!B9</f>
        <v>Хол.вода</v>
      </c>
      <c r="C9" s="8">
        <f>12540.52+2999.38</f>
        <v>15539.900000000001</v>
      </c>
      <c r="D9" s="12">
        <f>C9+май!D9</f>
        <v>73199.48000000001</v>
      </c>
      <c r="E9" s="9">
        <f>2641.86+11433.65</f>
        <v>14075.51</v>
      </c>
      <c r="F9" s="12">
        <f>E9+май!F9</f>
        <v>79944.62</v>
      </c>
      <c r="G9" s="12">
        <f t="shared" si="0"/>
        <v>-1464.3900000000012</v>
      </c>
      <c r="H9" s="13">
        <f t="shared" si="0"/>
        <v>6745.1399999999849</v>
      </c>
      <c r="I9" s="9"/>
      <c r="J9" s="13">
        <f>I9+май!J9</f>
        <v>0</v>
      </c>
      <c r="K9" s="8"/>
      <c r="L9" s="12">
        <f>K9+май!L9</f>
        <v>0</v>
      </c>
    </row>
    <row r="10" spans="1:12">
      <c r="A10" s="1">
        <f t="shared" si="1"/>
        <v>8</v>
      </c>
      <c r="B10" s="28" t="str">
        <f>май!B10</f>
        <v>Канализир.х.воды</v>
      </c>
      <c r="C10" s="8">
        <f>0+0</f>
        <v>0</v>
      </c>
      <c r="D10" s="12">
        <f>C10+май!D10</f>
        <v>0</v>
      </c>
      <c r="E10" s="9">
        <f>0+0</f>
        <v>0</v>
      </c>
      <c r="F10" s="12">
        <f>E10+май!F10</f>
        <v>0</v>
      </c>
      <c r="G10" s="12">
        <f t="shared" si="0"/>
        <v>0</v>
      </c>
      <c r="H10" s="13">
        <f t="shared" si="0"/>
        <v>0</v>
      </c>
      <c r="I10" s="9"/>
      <c r="J10" s="13">
        <f>I10+май!J10</f>
        <v>0</v>
      </c>
      <c r="K10" s="8"/>
      <c r="L10" s="12">
        <f>K10+май!L10</f>
        <v>0</v>
      </c>
    </row>
    <row r="11" spans="1:12">
      <c r="A11" s="1">
        <f t="shared" si="1"/>
        <v>9</v>
      </c>
      <c r="B11" s="28" t="str">
        <f>май!B11</f>
        <v>Канализир.г.воды</v>
      </c>
      <c r="C11" s="8">
        <f>0+0</f>
        <v>0</v>
      </c>
      <c r="D11" s="12">
        <f>C11+май!D11</f>
        <v>0</v>
      </c>
      <c r="E11" s="9">
        <f>0+0</f>
        <v>0</v>
      </c>
      <c r="F11" s="12">
        <f>E11+май!F11</f>
        <v>0</v>
      </c>
      <c r="G11" s="12">
        <f t="shared" si="0"/>
        <v>0</v>
      </c>
      <c r="H11" s="13">
        <f t="shared" si="0"/>
        <v>0</v>
      </c>
      <c r="I11" s="9"/>
      <c r="J11" s="13">
        <f>I11+май!J11</f>
        <v>0</v>
      </c>
      <c r="K11" s="8"/>
      <c r="L11" s="12">
        <f>K11+май!L11</f>
        <v>0</v>
      </c>
    </row>
    <row r="12" spans="1:12">
      <c r="A12" s="1">
        <f t="shared" si="1"/>
        <v>10</v>
      </c>
      <c r="B12" s="28" t="str">
        <f>май!B12</f>
        <v>Тек.рем.общ.имущ.дома</v>
      </c>
      <c r="C12" s="8">
        <f>13522.33+2380.64</f>
        <v>15902.97</v>
      </c>
      <c r="D12" s="12">
        <f>C12+май!D12</f>
        <v>79514.850000000006</v>
      </c>
      <c r="E12" s="9">
        <f>2090.18+12734.11</f>
        <v>14824.29</v>
      </c>
      <c r="F12" s="12">
        <f>E12+май!F12</f>
        <v>86542.69</v>
      </c>
      <c r="G12" s="12">
        <f t="shared" si="0"/>
        <v>-1078.6799999999985</v>
      </c>
      <c r="H12" s="13">
        <f t="shared" si="0"/>
        <v>7027.8399999999965</v>
      </c>
      <c r="I12" s="9"/>
      <c r="J12" s="13">
        <f>I12+май!J12</f>
        <v>0</v>
      </c>
      <c r="K12" s="8"/>
      <c r="L12" s="12">
        <f>K12+май!L12</f>
        <v>0</v>
      </c>
    </row>
    <row r="13" spans="1:12" ht="12.75" customHeight="1">
      <c r="A13" s="1">
        <f t="shared" si="1"/>
        <v>11</v>
      </c>
      <c r="B13" s="28" t="str">
        <f>май!B13</f>
        <v>Сод.и тек.рем.в/дом.газосн.</v>
      </c>
      <c r="C13" s="8">
        <f>1505.12+264.98</f>
        <v>1770.1</v>
      </c>
      <c r="D13" s="12">
        <f>C13+май!D13</f>
        <v>8850.5</v>
      </c>
      <c r="E13" s="9">
        <f>232.65+1417.29</f>
        <v>1649.94</v>
      </c>
      <c r="F13" s="12">
        <f>E13+май!F13</f>
        <v>9632.09</v>
      </c>
      <c r="G13" s="12">
        <f t="shared" si="0"/>
        <v>-120.15999999999985</v>
      </c>
      <c r="H13" s="13">
        <f t="shared" si="0"/>
        <v>781.59000000000015</v>
      </c>
      <c r="I13" s="9"/>
      <c r="J13" s="13">
        <f>I13+май!J13</f>
        <v>0</v>
      </c>
      <c r="K13" s="8"/>
      <c r="L13" s="12">
        <f>K13+май!L13</f>
        <v>0</v>
      </c>
    </row>
    <row r="14" spans="1:12" ht="15.75" customHeight="1">
      <c r="A14" s="1">
        <f t="shared" si="1"/>
        <v>12</v>
      </c>
      <c r="B14" s="28" t="str">
        <f>май!B14</f>
        <v>Управление многокв.дом.</v>
      </c>
      <c r="C14" s="8">
        <f>5302.38+933.5</f>
        <v>6235.88</v>
      </c>
      <c r="D14" s="12">
        <f>C14+май!D14</f>
        <v>31179.4</v>
      </c>
      <c r="E14" s="9">
        <f>819.62+4973.48</f>
        <v>5793.0999999999995</v>
      </c>
      <c r="F14" s="12">
        <f>E14+май!F14</f>
        <v>33900.39</v>
      </c>
      <c r="G14" s="12">
        <f t="shared" si="0"/>
        <v>-442.78000000000065</v>
      </c>
      <c r="H14" s="13">
        <f t="shared" si="0"/>
        <v>2720.989999999998</v>
      </c>
      <c r="I14" s="9"/>
      <c r="J14" s="13">
        <f>I14+май!J14</f>
        <v>0</v>
      </c>
      <c r="K14" s="8"/>
      <c r="L14" s="12">
        <f>K14+май!L14</f>
        <v>0</v>
      </c>
    </row>
    <row r="15" spans="1:12">
      <c r="A15" s="1">
        <f t="shared" si="1"/>
        <v>13</v>
      </c>
      <c r="B15" s="28" t="str">
        <f>май!B15</f>
        <v>Водоотведение(кв)</v>
      </c>
      <c r="C15" s="8">
        <f>12540.52+2999.38</f>
        <v>15539.900000000001</v>
      </c>
      <c r="D15" s="12">
        <f>C15+май!D15</f>
        <v>73199.48000000001</v>
      </c>
      <c r="E15" s="9">
        <f>2641.86+11433.65</f>
        <v>14075.51</v>
      </c>
      <c r="F15" s="12">
        <f>E15+май!F15</f>
        <v>79944.62</v>
      </c>
      <c r="G15" s="12">
        <f t="shared" si="0"/>
        <v>-1464.3900000000012</v>
      </c>
      <c r="H15" s="13">
        <f t="shared" si="0"/>
        <v>6745.1399999999849</v>
      </c>
      <c r="I15" s="9"/>
      <c r="J15" s="13">
        <f>I15+май!J15</f>
        <v>0</v>
      </c>
      <c r="K15" s="8"/>
      <c r="L15" s="12">
        <f>K15+май!L15</f>
        <v>0</v>
      </c>
    </row>
    <row r="16" spans="1:12" ht="15.75" customHeight="1">
      <c r="A16" s="1">
        <f t="shared" si="1"/>
        <v>14</v>
      </c>
      <c r="B16" s="28" t="str">
        <f>май!B16</f>
        <v>Эксплуатация общедом.ПУ</v>
      </c>
      <c r="C16" s="8">
        <f>138.88+24.46</f>
        <v>163.34</v>
      </c>
      <c r="D16" s="12">
        <f>C16+май!D16</f>
        <v>816.7</v>
      </c>
      <c r="E16" s="9">
        <f>21.48+130.94</f>
        <v>152.41999999999999</v>
      </c>
      <c r="F16" s="12">
        <f>E16+май!F16</f>
        <v>889.31000000000006</v>
      </c>
      <c r="G16" s="12">
        <f t="shared" si="0"/>
        <v>-10.920000000000016</v>
      </c>
      <c r="H16" s="13">
        <f t="shared" si="0"/>
        <v>72.610000000000014</v>
      </c>
      <c r="I16" s="9"/>
      <c r="J16" s="13">
        <f>I16+май!J16</f>
        <v>0</v>
      </c>
      <c r="K16" s="8"/>
      <c r="L16" s="12">
        <f>K16+май!L16</f>
        <v>0</v>
      </c>
    </row>
    <row r="17" spans="1:12" ht="13.5" customHeight="1">
      <c r="A17" s="1">
        <f t="shared" si="1"/>
        <v>15</v>
      </c>
      <c r="B17" s="28" t="str">
        <f>май!B17</f>
        <v>Хол.водоснабж.(о/д нужды)</v>
      </c>
      <c r="C17" s="8">
        <f>267.15+47.33</f>
        <v>314.47999999999996</v>
      </c>
      <c r="D17" s="12">
        <f>C17+май!D17</f>
        <v>996.48</v>
      </c>
      <c r="E17" s="9">
        <f>38.09+207.41</f>
        <v>245.5</v>
      </c>
      <c r="F17" s="12">
        <f>E17+май!F17</f>
        <v>1013.96</v>
      </c>
      <c r="G17" s="12">
        <f t="shared" si="0"/>
        <v>-68.979999999999961</v>
      </c>
      <c r="H17" s="13">
        <f t="shared" si="0"/>
        <v>17.480000000000018</v>
      </c>
      <c r="I17" s="9"/>
      <c r="J17" s="13">
        <f>I17+май!J17</f>
        <v>0</v>
      </c>
      <c r="K17" s="8"/>
      <c r="L17" s="12">
        <f>K17+май!L17</f>
        <v>0</v>
      </c>
    </row>
    <row r="18" spans="1:12" ht="15.75" customHeight="1">
      <c r="A18" s="1">
        <f t="shared" si="1"/>
        <v>16</v>
      </c>
      <c r="B18" s="28" t="str">
        <f>май!B18</f>
        <v>Водоотведение(о/д нужды)</v>
      </c>
      <c r="C18" s="8">
        <f>0+0</f>
        <v>0</v>
      </c>
      <c r="D18" s="12">
        <f>C18+май!D18</f>
        <v>0</v>
      </c>
      <c r="E18" s="9">
        <f>0+0</f>
        <v>0</v>
      </c>
      <c r="F18" s="12">
        <f>E18+май!F18</f>
        <v>0</v>
      </c>
      <c r="G18" s="12">
        <f t="shared" si="0"/>
        <v>0</v>
      </c>
      <c r="H18" s="13">
        <f t="shared" si="0"/>
        <v>0</v>
      </c>
      <c r="I18" s="9"/>
      <c r="J18" s="13">
        <f>I18+май!J18</f>
        <v>0</v>
      </c>
      <c r="K18" s="8"/>
      <c r="L18" s="12">
        <f>K18+май!L18</f>
        <v>0</v>
      </c>
    </row>
    <row r="19" spans="1:12">
      <c r="A19" s="1">
        <f t="shared" si="1"/>
        <v>17</v>
      </c>
      <c r="B19" s="28" t="str">
        <f>май!B19</f>
        <v>Отопление(о/д нужды)</v>
      </c>
      <c r="C19" s="8">
        <f>0+0</f>
        <v>0</v>
      </c>
      <c r="D19" s="12">
        <f>C19+май!D19</f>
        <v>0</v>
      </c>
      <c r="E19" s="9">
        <f>0+0</f>
        <v>0</v>
      </c>
      <c r="F19" s="12">
        <f>E19+май!F19</f>
        <v>0</v>
      </c>
      <c r="G19" s="12">
        <f t="shared" si="0"/>
        <v>0</v>
      </c>
      <c r="H19" s="13">
        <f t="shared" si="0"/>
        <v>0</v>
      </c>
      <c r="I19" s="9"/>
      <c r="J19" s="13">
        <f>I19+май!J19</f>
        <v>0</v>
      </c>
      <c r="K19" s="8"/>
      <c r="L19" s="12">
        <f>K19+май!L19</f>
        <v>0</v>
      </c>
    </row>
    <row r="20" spans="1:12" ht="15.75" customHeight="1">
      <c r="A20" s="1">
        <f t="shared" si="1"/>
        <v>18</v>
      </c>
      <c r="B20" s="28" t="str">
        <f>май!B20</f>
        <v>Электроснабжение(общед.нужды)</v>
      </c>
      <c r="C20" s="8">
        <f>58345.37+10041.3</f>
        <v>68386.67</v>
      </c>
      <c r="D20" s="12">
        <f>C20+май!D20</f>
        <v>286206.72000000003</v>
      </c>
      <c r="E20" s="9">
        <f>9648.97+55483.07</f>
        <v>65132.04</v>
      </c>
      <c r="F20" s="12">
        <f>E20+май!F20</f>
        <v>319305.41000000003</v>
      </c>
      <c r="G20" s="12">
        <f t="shared" si="0"/>
        <v>-3254.6299999999974</v>
      </c>
      <c r="H20" s="13">
        <f t="shared" si="0"/>
        <v>33098.69</v>
      </c>
      <c r="I20" s="9"/>
      <c r="J20" s="13">
        <f>I20+май!J20</f>
        <v>0</v>
      </c>
      <c r="K20" s="8"/>
      <c r="L20" s="12">
        <f>K20+май!L20</f>
        <v>0</v>
      </c>
    </row>
    <row r="21" spans="1:12" ht="11.25" customHeight="1">
      <c r="A21" s="1">
        <f t="shared" si="1"/>
        <v>19</v>
      </c>
      <c r="B21" s="28" t="str">
        <f>май!B21</f>
        <v>Горячее водоснабж.(о/д нужды)</v>
      </c>
      <c r="C21" s="8">
        <f>0+0</f>
        <v>0</v>
      </c>
      <c r="D21" s="12">
        <f>C21+май!D21</f>
        <v>0</v>
      </c>
      <c r="E21" s="9">
        <f>0+0</f>
        <v>0</v>
      </c>
      <c r="F21" s="12">
        <f>E21+май!F21</f>
        <v>0</v>
      </c>
      <c r="G21" s="12">
        <f t="shared" si="0"/>
        <v>0</v>
      </c>
      <c r="H21" s="13">
        <f t="shared" si="0"/>
        <v>0</v>
      </c>
      <c r="I21" s="9"/>
      <c r="J21" s="13">
        <f>I21+май!J21</f>
        <v>0</v>
      </c>
      <c r="K21" s="8"/>
      <c r="L21" s="12">
        <f>K21+май!L21</f>
        <v>0</v>
      </c>
    </row>
    <row r="22" spans="1:12">
      <c r="A22" s="1">
        <f t="shared" si="1"/>
        <v>20</v>
      </c>
      <c r="B22" s="28">
        <f>май!B22</f>
        <v>0</v>
      </c>
      <c r="C22" s="8"/>
      <c r="D22" s="12">
        <f>C22+май!D22</f>
        <v>0</v>
      </c>
      <c r="E22" s="9"/>
      <c r="F22" s="12">
        <f>E22+май!F22</f>
        <v>0</v>
      </c>
      <c r="G22" s="12">
        <f t="shared" si="0"/>
        <v>0</v>
      </c>
      <c r="H22" s="13">
        <f t="shared" si="0"/>
        <v>0</v>
      </c>
      <c r="I22" s="9"/>
      <c r="J22" s="13">
        <f>I22+май!J22</f>
        <v>0</v>
      </c>
      <c r="K22" s="8"/>
      <c r="L22" s="12">
        <f>K22+май!L22</f>
        <v>0</v>
      </c>
    </row>
    <row r="23" spans="1:12">
      <c r="A23" s="1"/>
      <c r="B23" s="17" t="s">
        <v>12</v>
      </c>
      <c r="C23" s="12">
        <f t="shared" ref="C23:L23" si="2">SUM(C3:C22)</f>
        <v>194414.07999999999</v>
      </c>
      <c r="D23" s="12">
        <f t="shared" si="2"/>
        <v>1327337.73</v>
      </c>
      <c r="E23" s="13">
        <f t="shared" si="2"/>
        <v>213731.00000000003</v>
      </c>
      <c r="F23" s="12">
        <f t="shared" si="2"/>
        <v>1498210.12</v>
      </c>
      <c r="G23" s="12">
        <f t="shared" si="2"/>
        <v>19316.920000000002</v>
      </c>
      <c r="H23" s="13">
        <f t="shared" si="2"/>
        <v>170872.38999999993</v>
      </c>
      <c r="I23" s="13">
        <f t="shared" si="2"/>
        <v>0</v>
      </c>
      <c r="J23" s="13">
        <f t="shared" si="2"/>
        <v>0</v>
      </c>
      <c r="K23" s="12">
        <f t="shared" si="2"/>
        <v>0</v>
      </c>
      <c r="L23" s="12">
        <f t="shared" si="2"/>
        <v>0</v>
      </c>
    </row>
    <row r="25" spans="1:12">
      <c r="B25" s="49" t="s">
        <v>34</v>
      </c>
      <c r="C25" s="9">
        <f t="shared" ref="C25:H25" si="3">C3+C7+C12+C13+C14+C16</f>
        <v>58383.429999999993</v>
      </c>
      <c r="D25" s="9">
        <f t="shared" si="3"/>
        <v>291917.15000000002</v>
      </c>
      <c r="E25" s="9">
        <f t="shared" si="3"/>
        <v>54373.85</v>
      </c>
      <c r="F25" s="9">
        <f t="shared" si="3"/>
        <v>316870.16000000003</v>
      </c>
      <c r="G25" s="9">
        <f t="shared" si="3"/>
        <v>-4009.5799999999963</v>
      </c>
      <c r="H25" s="9">
        <f t="shared" si="3"/>
        <v>24953.010000000035</v>
      </c>
    </row>
    <row r="26" spans="1:12" ht="2.25" customHeight="1"/>
    <row r="27" spans="1:12" hidden="1"/>
    <row r="28" spans="1:12">
      <c r="B28" s="1" t="s">
        <v>35</v>
      </c>
      <c r="C28" s="9">
        <f>C9+C10+C11+C15+C17+C18+C22</f>
        <v>31394.280000000002</v>
      </c>
      <c r="D28" s="9">
        <f t="shared" ref="D28:J28" si="4">D9+D10+D11+D15+D17+D18+D22</f>
        <v>147395.44000000003</v>
      </c>
      <c r="E28" s="9">
        <f t="shared" si="4"/>
        <v>28396.52</v>
      </c>
      <c r="F28" s="9">
        <f t="shared" si="4"/>
        <v>160903.19999999998</v>
      </c>
      <c r="G28" s="9">
        <f t="shared" si="4"/>
        <v>-2997.7600000000025</v>
      </c>
      <c r="H28" s="9">
        <f t="shared" si="4"/>
        <v>13507.759999999969</v>
      </c>
      <c r="I28" s="9">
        <f t="shared" si="4"/>
        <v>0</v>
      </c>
      <c r="J28" s="9">
        <f t="shared" si="4"/>
        <v>0</v>
      </c>
    </row>
    <row r="29" spans="1:12">
      <c r="B29" s="1" t="s">
        <v>36</v>
      </c>
      <c r="C29" s="9">
        <f>C8+C20</f>
        <v>104636.37</v>
      </c>
      <c r="D29" s="9">
        <f t="shared" ref="D29:J29" si="5">D8+D20</f>
        <v>462252.14</v>
      </c>
      <c r="E29" s="9">
        <f t="shared" si="5"/>
        <v>98248.22</v>
      </c>
      <c r="F29" s="9">
        <f t="shared" si="5"/>
        <v>511424.68000000005</v>
      </c>
      <c r="G29" s="9">
        <f t="shared" si="5"/>
        <v>-6388.1500000000015</v>
      </c>
      <c r="H29" s="9">
        <f t="shared" si="5"/>
        <v>49172.539999999979</v>
      </c>
      <c r="I29" s="9">
        <f t="shared" si="5"/>
        <v>0</v>
      </c>
      <c r="J29" s="9">
        <f t="shared" si="5"/>
        <v>0</v>
      </c>
    </row>
    <row r="30" spans="1:12">
      <c r="B30" s="1" t="s">
        <v>37</v>
      </c>
      <c r="C30" s="9">
        <f>C4+C5+C21+C19</f>
        <v>0</v>
      </c>
      <c r="D30" s="9">
        <f t="shared" ref="D30:J30" si="6">D4+D5+D21+D19</f>
        <v>425773</v>
      </c>
      <c r="E30" s="9">
        <f t="shared" si="6"/>
        <v>32712.410000000003</v>
      </c>
      <c r="F30" s="9">
        <f t="shared" si="6"/>
        <v>509012.07999999996</v>
      </c>
      <c r="G30" s="9">
        <f t="shared" si="6"/>
        <v>32712.410000000003</v>
      </c>
      <c r="H30" s="9">
        <f t="shared" si="6"/>
        <v>83239.079999999958</v>
      </c>
      <c r="I30" s="9">
        <f t="shared" si="6"/>
        <v>0</v>
      </c>
      <c r="J30" s="9">
        <f t="shared" si="6"/>
        <v>0</v>
      </c>
    </row>
    <row r="35" spans="8:9">
      <c r="H35">
        <v>31596.9</v>
      </c>
      <c r="I35">
        <v>31362.61</v>
      </c>
    </row>
    <row r="36" spans="8:9">
      <c r="H36">
        <v>162817.18</v>
      </c>
      <c r="I36">
        <v>182368.39</v>
      </c>
    </row>
    <row r="37" spans="8:9">
      <c r="H37" s="11">
        <f>H35+H36</f>
        <v>194414.07999999999</v>
      </c>
      <c r="I37" s="11">
        <f>I35+I36</f>
        <v>213731</v>
      </c>
    </row>
  </sheetData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activeCell="I40" sqref="I40"/>
    </sheetView>
  </sheetViews>
  <sheetFormatPr defaultRowHeight="12.75"/>
  <cols>
    <col min="1" max="1" width="3.5703125" customWidth="1"/>
    <col min="2" max="2" width="31.85546875" customWidth="1"/>
    <col min="3" max="3" width="10" customWidth="1"/>
    <col min="4" max="4" width="12.28515625" customWidth="1"/>
    <col min="5" max="5" width="12.7109375" customWidth="1"/>
    <col min="6" max="6" width="12.28515625" customWidth="1"/>
    <col min="7" max="7" width="9.7109375" bestFit="1" customWidth="1"/>
    <col min="8" max="8" width="11.85546875" customWidth="1"/>
    <col min="9" max="9" width="10.42578125" customWidth="1"/>
    <col min="10" max="10" width="11.7109375" customWidth="1"/>
    <col min="11" max="11" width="9.28515625" bestFit="1" customWidth="1"/>
    <col min="12" max="12" width="11.5703125" customWidth="1"/>
  </cols>
  <sheetData>
    <row r="1" spans="1:12">
      <c r="D1" s="63" t="s">
        <v>17</v>
      </c>
      <c r="E1" s="64"/>
      <c r="F1" s="64"/>
      <c r="G1" s="64"/>
    </row>
    <row r="2" spans="1:12" s="27" customFormat="1" ht="38.25">
      <c r="A2" s="21" t="s">
        <v>0</v>
      </c>
      <c r="B2" s="22" t="s">
        <v>1</v>
      </c>
      <c r="C2" s="23" t="s">
        <v>2</v>
      </c>
      <c r="D2" s="24" t="s">
        <v>3</v>
      </c>
      <c r="E2" s="25" t="s">
        <v>4</v>
      </c>
      <c r="F2" s="24" t="s">
        <v>5</v>
      </c>
      <c r="G2" s="24" t="s">
        <v>6</v>
      </c>
      <c r="H2" s="26" t="s">
        <v>7</v>
      </c>
      <c r="I2" s="25" t="s">
        <v>8</v>
      </c>
      <c r="J2" s="26" t="s">
        <v>9</v>
      </c>
      <c r="K2" s="22" t="s">
        <v>10</v>
      </c>
      <c r="L2" s="24" t="s">
        <v>11</v>
      </c>
    </row>
    <row r="3" spans="1:12">
      <c r="A3" s="1">
        <v>1</v>
      </c>
      <c r="B3" s="28" t="str">
        <f>июнь!B3</f>
        <v>Содержание общ.имущ.дома</v>
      </c>
      <c r="C3" s="8">
        <v>32404.93</v>
      </c>
      <c r="D3" s="12">
        <f>C3+июнь!D3</f>
        <v>183265.08</v>
      </c>
      <c r="E3" s="9">
        <v>35366.11</v>
      </c>
      <c r="F3" s="12">
        <f>E3+июнь!F3</f>
        <v>198744.27000000002</v>
      </c>
      <c r="G3" s="12">
        <f>E3-C3</f>
        <v>2961.1800000000003</v>
      </c>
      <c r="H3" s="13">
        <f>F3-D3</f>
        <v>15479.190000000031</v>
      </c>
      <c r="I3" s="9"/>
      <c r="J3" s="13">
        <f>I3+июнь!J3</f>
        <v>0</v>
      </c>
      <c r="K3" s="8"/>
      <c r="L3" s="12">
        <f>K3+июнь!L3</f>
        <v>0</v>
      </c>
    </row>
    <row r="4" spans="1:12">
      <c r="A4" s="1">
        <f>A3+1</f>
        <v>2</v>
      </c>
      <c r="B4" s="28" t="str">
        <f>июнь!B4</f>
        <v>Отопление</v>
      </c>
      <c r="C4" s="8">
        <v>0</v>
      </c>
      <c r="D4" s="12">
        <f>C4+июнь!D4</f>
        <v>425773</v>
      </c>
      <c r="E4" s="9">
        <v>25444.75</v>
      </c>
      <c r="F4" s="12">
        <f>E4+июнь!F4</f>
        <v>534456.82999999996</v>
      </c>
      <c r="G4" s="12">
        <f t="shared" ref="G4:H22" si="0">E4-C4</f>
        <v>25444.75</v>
      </c>
      <c r="H4" s="13">
        <f t="shared" si="0"/>
        <v>108683.82999999996</v>
      </c>
      <c r="I4" s="9"/>
      <c r="J4" s="13">
        <f>I4+июнь!J4</f>
        <v>0</v>
      </c>
      <c r="K4" s="8"/>
      <c r="L4" s="12">
        <f>K4+июнь!L4</f>
        <v>0</v>
      </c>
    </row>
    <row r="5" spans="1:12">
      <c r="A5" s="1">
        <f t="shared" ref="A5:A22" si="1">A4+1</f>
        <v>3</v>
      </c>
      <c r="B5" s="28" t="str">
        <f>июнь!B5</f>
        <v>Горячее водоснабжение</v>
      </c>
      <c r="C5" s="8">
        <v>0</v>
      </c>
      <c r="D5" s="12">
        <f>C5+июнь!D5</f>
        <v>0</v>
      </c>
      <c r="E5" s="9">
        <v>0</v>
      </c>
      <c r="F5" s="12">
        <f>E5+июнь!F5</f>
        <v>0</v>
      </c>
      <c r="G5" s="12">
        <f t="shared" si="0"/>
        <v>0</v>
      </c>
      <c r="H5" s="13">
        <f t="shared" si="0"/>
        <v>0</v>
      </c>
      <c r="I5" s="9"/>
      <c r="J5" s="13">
        <f>I5+июнь!J5</f>
        <v>0</v>
      </c>
      <c r="K5" s="8"/>
      <c r="L5" s="12">
        <f>K5+июнь!L5</f>
        <v>0</v>
      </c>
    </row>
    <row r="6" spans="1:12">
      <c r="A6" s="1">
        <f t="shared" si="1"/>
        <v>4</v>
      </c>
      <c r="B6" s="28" t="str">
        <f>июнь!B6</f>
        <v>Газ</v>
      </c>
      <c r="C6" s="8">
        <v>0</v>
      </c>
      <c r="D6" s="12">
        <f>C6+июнь!D6</f>
        <v>0</v>
      </c>
      <c r="E6" s="9">
        <v>0</v>
      </c>
      <c r="F6" s="12">
        <f>E6+июнь!F6</f>
        <v>0</v>
      </c>
      <c r="G6" s="12">
        <f t="shared" si="0"/>
        <v>0</v>
      </c>
      <c r="H6" s="13">
        <f t="shared" si="0"/>
        <v>0</v>
      </c>
      <c r="I6" s="9"/>
      <c r="J6" s="13">
        <f>I6+июнь!J6</f>
        <v>0</v>
      </c>
      <c r="K6" s="8"/>
      <c r="L6" s="12">
        <f>K6+июнь!L6</f>
        <v>0</v>
      </c>
    </row>
    <row r="7" spans="1:12">
      <c r="A7" s="1">
        <f t="shared" si="1"/>
        <v>5</v>
      </c>
      <c r="B7" s="28" t="str">
        <f>июнь!B7</f>
        <v>Уборка и сан.очистка зем.уч.</v>
      </c>
      <c r="C7" s="8">
        <v>4983.34</v>
      </c>
      <c r="D7" s="12">
        <f>C7+июнь!D7</f>
        <v>25678.89</v>
      </c>
      <c r="E7" s="9">
        <v>5190.3900000000003</v>
      </c>
      <c r="F7" s="12">
        <f>E7+июнь!F7</f>
        <v>27717.91</v>
      </c>
      <c r="G7" s="12">
        <f t="shared" si="0"/>
        <v>207.05000000000018</v>
      </c>
      <c r="H7" s="13">
        <f t="shared" si="0"/>
        <v>2039.0200000000004</v>
      </c>
      <c r="I7" s="9"/>
      <c r="J7" s="13">
        <f>I7+июнь!J7</f>
        <v>0</v>
      </c>
      <c r="K7" s="8"/>
      <c r="L7" s="12">
        <f>K7+июнь!L7</f>
        <v>0</v>
      </c>
    </row>
    <row r="8" spans="1:12">
      <c r="A8" s="1">
        <f t="shared" si="1"/>
        <v>6</v>
      </c>
      <c r="B8" s="28" t="str">
        <f>июнь!B8</f>
        <v>Электроснабжение (инд.потр)</v>
      </c>
      <c r="C8" s="8">
        <v>37360.15</v>
      </c>
      <c r="D8" s="12">
        <f>C8+июнь!D8</f>
        <v>213405.57</v>
      </c>
      <c r="E8" s="9">
        <v>41353.949999999997</v>
      </c>
      <c r="F8" s="12">
        <f>E8+июнь!F8</f>
        <v>233473.21999999997</v>
      </c>
      <c r="G8" s="12">
        <f t="shared" si="0"/>
        <v>3993.7999999999956</v>
      </c>
      <c r="H8" s="13">
        <f t="shared" si="0"/>
        <v>20067.649999999965</v>
      </c>
      <c r="I8" s="9"/>
      <c r="J8" s="13">
        <f>I8+июнь!J8</f>
        <v>0</v>
      </c>
      <c r="K8" s="8"/>
      <c r="L8" s="12">
        <f>K8+июнь!L8</f>
        <v>0</v>
      </c>
    </row>
    <row r="9" spans="1:12">
      <c r="A9" s="1">
        <f t="shared" si="1"/>
        <v>7</v>
      </c>
      <c r="B9" s="28" t="str">
        <f>июнь!B9</f>
        <v>Хол.вода</v>
      </c>
      <c r="C9" s="8">
        <v>16685.5</v>
      </c>
      <c r="D9" s="12">
        <f>C9+июнь!D9</f>
        <v>89884.98000000001</v>
      </c>
      <c r="E9" s="9">
        <v>18180</v>
      </c>
      <c r="F9" s="12">
        <f>E9+июнь!F9</f>
        <v>98124.62</v>
      </c>
      <c r="G9" s="12">
        <f t="shared" si="0"/>
        <v>1494.5</v>
      </c>
      <c r="H9" s="13">
        <f t="shared" si="0"/>
        <v>8239.6399999999849</v>
      </c>
      <c r="I9" s="9"/>
      <c r="J9" s="13">
        <f>I9+июнь!J9</f>
        <v>0</v>
      </c>
      <c r="K9" s="8"/>
      <c r="L9" s="12">
        <f>K9+июнь!L9</f>
        <v>0</v>
      </c>
    </row>
    <row r="10" spans="1:12">
      <c r="A10" s="1">
        <f t="shared" si="1"/>
        <v>8</v>
      </c>
      <c r="B10" s="28" t="str">
        <f>июнь!B10</f>
        <v>Канализир.х.воды</v>
      </c>
      <c r="C10" s="8">
        <v>0</v>
      </c>
      <c r="D10" s="12">
        <f>C10+июнь!D10</f>
        <v>0</v>
      </c>
      <c r="E10" s="9">
        <v>0</v>
      </c>
      <c r="F10" s="12">
        <f>E10+июнь!F10</f>
        <v>0</v>
      </c>
      <c r="G10" s="12">
        <f t="shared" si="0"/>
        <v>0</v>
      </c>
      <c r="H10" s="13">
        <f t="shared" si="0"/>
        <v>0</v>
      </c>
      <c r="I10" s="9"/>
      <c r="J10" s="13">
        <f>I10+июнь!J10</f>
        <v>0</v>
      </c>
      <c r="K10" s="8"/>
      <c r="L10" s="12">
        <f>K10+июнь!L10</f>
        <v>0</v>
      </c>
    </row>
    <row r="11" spans="1:12">
      <c r="A11" s="1">
        <f t="shared" si="1"/>
        <v>9</v>
      </c>
      <c r="B11" s="28" t="str">
        <f>июнь!B11</f>
        <v>Канализир.г.воды</v>
      </c>
      <c r="C11" s="8">
        <v>0</v>
      </c>
      <c r="D11" s="12">
        <f>C11+июнь!D11</f>
        <v>0</v>
      </c>
      <c r="E11" s="9">
        <v>0</v>
      </c>
      <c r="F11" s="12">
        <f>E11+июнь!F11</f>
        <v>0</v>
      </c>
      <c r="G11" s="12">
        <f t="shared" si="0"/>
        <v>0</v>
      </c>
      <c r="H11" s="13">
        <f t="shared" si="0"/>
        <v>0</v>
      </c>
      <c r="I11" s="9"/>
      <c r="J11" s="13">
        <f>I11+июнь!J11</f>
        <v>0</v>
      </c>
      <c r="K11" s="8"/>
      <c r="L11" s="12">
        <f>K11+июнь!L11</f>
        <v>0</v>
      </c>
    </row>
    <row r="12" spans="1:12">
      <c r="A12" s="1">
        <f t="shared" si="1"/>
        <v>10</v>
      </c>
      <c r="B12" s="28" t="str">
        <f>июнь!B12</f>
        <v>Тек.рем.общ.имущ.дома</v>
      </c>
      <c r="C12" s="8">
        <v>16910.43</v>
      </c>
      <c r="D12" s="12">
        <f>C12+июнь!D12</f>
        <v>96425.279999999999</v>
      </c>
      <c r="E12" s="9">
        <v>18575.599999999999</v>
      </c>
      <c r="F12" s="12">
        <f>E12+июнь!F12</f>
        <v>105118.29000000001</v>
      </c>
      <c r="G12" s="12">
        <f t="shared" si="0"/>
        <v>1665.1699999999983</v>
      </c>
      <c r="H12" s="13">
        <f t="shared" si="0"/>
        <v>8693.0100000000093</v>
      </c>
      <c r="I12" s="9"/>
      <c r="J12" s="13">
        <f>I12+июнь!J12</f>
        <v>0</v>
      </c>
      <c r="K12" s="8"/>
      <c r="L12" s="12">
        <f>K12+июнь!L12</f>
        <v>0</v>
      </c>
    </row>
    <row r="13" spans="1:12">
      <c r="A13" s="1">
        <f t="shared" si="1"/>
        <v>11</v>
      </c>
      <c r="B13" s="28" t="str">
        <f>июнь!B13</f>
        <v>Сод.и тек.рем.в/дом.газосн.</v>
      </c>
      <c r="C13" s="8">
        <v>1851.68</v>
      </c>
      <c r="D13" s="12">
        <f>C13+июнь!D13</f>
        <v>10702.18</v>
      </c>
      <c r="E13" s="9">
        <v>2046.76</v>
      </c>
      <c r="F13" s="12">
        <f>E13+июнь!F13</f>
        <v>11678.85</v>
      </c>
      <c r="G13" s="12">
        <f t="shared" si="0"/>
        <v>195.07999999999993</v>
      </c>
      <c r="H13" s="13">
        <f t="shared" si="0"/>
        <v>976.67000000000007</v>
      </c>
      <c r="I13" s="9"/>
      <c r="J13" s="13">
        <f>I13+июнь!J13</f>
        <v>0</v>
      </c>
      <c r="K13" s="8"/>
      <c r="L13" s="12">
        <f>K13+июнь!L13</f>
        <v>0</v>
      </c>
    </row>
    <row r="14" spans="1:12">
      <c r="A14" s="1">
        <f t="shared" si="1"/>
        <v>12</v>
      </c>
      <c r="B14" s="28" t="str">
        <f>июнь!B14</f>
        <v>Управление многокв.дом.</v>
      </c>
      <c r="C14" s="8">
        <v>6998.38</v>
      </c>
      <c r="D14" s="12">
        <f>C14+июнь!D14</f>
        <v>38177.78</v>
      </c>
      <c r="E14" s="9">
        <v>7044.62</v>
      </c>
      <c r="F14" s="12">
        <f>E14+июнь!F14</f>
        <v>40945.01</v>
      </c>
      <c r="G14" s="12">
        <f t="shared" si="0"/>
        <v>46.239999999999782</v>
      </c>
      <c r="H14" s="13">
        <f t="shared" si="0"/>
        <v>2767.2300000000032</v>
      </c>
      <c r="I14" s="9"/>
      <c r="J14" s="13">
        <f>I14+июнь!J14</f>
        <v>0</v>
      </c>
      <c r="K14" s="8"/>
      <c r="L14" s="12">
        <f>K14+июнь!L14</f>
        <v>0</v>
      </c>
    </row>
    <row r="15" spans="1:12">
      <c r="A15" s="1">
        <f t="shared" si="1"/>
        <v>13</v>
      </c>
      <c r="B15" s="28" t="str">
        <f>июнь!B15</f>
        <v>Водоотведение(кв)</v>
      </c>
      <c r="C15" s="8">
        <v>16685.5</v>
      </c>
      <c r="D15" s="12">
        <f>C15+июнь!D15</f>
        <v>89884.98000000001</v>
      </c>
      <c r="E15" s="9">
        <v>18180</v>
      </c>
      <c r="F15" s="12">
        <f>E15+июнь!F15</f>
        <v>98124.62</v>
      </c>
      <c r="G15" s="12">
        <f t="shared" si="0"/>
        <v>1494.5</v>
      </c>
      <c r="H15" s="13">
        <f t="shared" si="0"/>
        <v>8239.6399999999849</v>
      </c>
      <c r="I15" s="9"/>
      <c r="J15" s="13">
        <f>I15+июнь!J15</f>
        <v>0</v>
      </c>
      <c r="K15" s="8"/>
      <c r="L15" s="12">
        <f>K15+июнь!L15</f>
        <v>0</v>
      </c>
    </row>
    <row r="16" spans="1:12">
      <c r="A16" s="1">
        <f t="shared" si="1"/>
        <v>14</v>
      </c>
      <c r="B16" s="28" t="str">
        <f>июнь!B16</f>
        <v>Эксплуатация общедом.ПУ</v>
      </c>
      <c r="C16" s="8">
        <v>190.57</v>
      </c>
      <c r="D16" s="12">
        <f>C16+июнь!D16</f>
        <v>1007.27</v>
      </c>
      <c r="E16" s="9">
        <v>218.04</v>
      </c>
      <c r="F16" s="12">
        <f>E16+июнь!F16</f>
        <v>1107.3500000000001</v>
      </c>
      <c r="G16" s="12">
        <f t="shared" si="0"/>
        <v>27.47</v>
      </c>
      <c r="H16" s="13">
        <f t="shared" si="0"/>
        <v>100.08000000000015</v>
      </c>
      <c r="I16" s="9"/>
      <c r="J16" s="13">
        <f>I16+июнь!J16</f>
        <v>0</v>
      </c>
      <c r="K16" s="8"/>
      <c r="L16" s="12">
        <f>K16+июнь!L16</f>
        <v>0</v>
      </c>
    </row>
    <row r="17" spans="1:12">
      <c r="A17" s="1">
        <f t="shared" si="1"/>
        <v>15</v>
      </c>
      <c r="B17" s="28" t="str">
        <f>июнь!B17</f>
        <v>Хол.водоснабж.(о/д нужды)</v>
      </c>
      <c r="C17" s="8">
        <v>346.08</v>
      </c>
      <c r="D17" s="12">
        <f>C17+июнь!D17</f>
        <v>1342.56</v>
      </c>
      <c r="E17" s="9">
        <v>332.36</v>
      </c>
      <c r="F17" s="12">
        <f>E17+июнь!F17</f>
        <v>1346.3200000000002</v>
      </c>
      <c r="G17" s="12">
        <f t="shared" si="0"/>
        <v>-13.71999999999997</v>
      </c>
      <c r="H17" s="13">
        <f t="shared" si="0"/>
        <v>3.7600000000002183</v>
      </c>
      <c r="I17" s="9"/>
      <c r="J17" s="13">
        <f>I17+июнь!J17</f>
        <v>0</v>
      </c>
      <c r="K17" s="8"/>
      <c r="L17" s="12">
        <f>K17+июнь!L17</f>
        <v>0</v>
      </c>
    </row>
    <row r="18" spans="1:12">
      <c r="A18" s="1">
        <f t="shared" si="1"/>
        <v>16</v>
      </c>
      <c r="B18" s="28" t="str">
        <f>июнь!B18</f>
        <v>Водоотведение(о/д нужды)</v>
      </c>
      <c r="C18" s="8">
        <v>0</v>
      </c>
      <c r="D18" s="12">
        <f>C18+июнь!D18</f>
        <v>0</v>
      </c>
      <c r="E18" s="9">
        <v>0</v>
      </c>
      <c r="F18" s="12">
        <f>E18+июнь!F18</f>
        <v>0</v>
      </c>
      <c r="G18" s="12">
        <f t="shared" si="0"/>
        <v>0</v>
      </c>
      <c r="H18" s="13">
        <f t="shared" si="0"/>
        <v>0</v>
      </c>
      <c r="I18" s="9"/>
      <c r="J18" s="13">
        <f>I18+июнь!J18</f>
        <v>0</v>
      </c>
      <c r="K18" s="8"/>
      <c r="L18" s="12">
        <f>K18+июнь!L18</f>
        <v>0</v>
      </c>
    </row>
    <row r="19" spans="1:12">
      <c r="A19" s="1">
        <f t="shared" si="1"/>
        <v>17</v>
      </c>
      <c r="B19" s="28" t="str">
        <f>июнь!B19</f>
        <v>Отопление(о/д нужды)</v>
      </c>
      <c r="C19" s="8">
        <v>0</v>
      </c>
      <c r="D19" s="12">
        <f>C19+июнь!D19</f>
        <v>0</v>
      </c>
      <c r="E19" s="9">
        <v>0</v>
      </c>
      <c r="F19" s="12">
        <f>E19+июнь!F19</f>
        <v>0</v>
      </c>
      <c r="G19" s="12">
        <f t="shared" si="0"/>
        <v>0</v>
      </c>
      <c r="H19" s="13">
        <f t="shared" si="0"/>
        <v>0</v>
      </c>
      <c r="I19" s="9"/>
      <c r="J19" s="13">
        <f>I19+июнь!J19</f>
        <v>0</v>
      </c>
      <c r="K19" s="8"/>
      <c r="L19" s="12">
        <f>K19+июнь!L19</f>
        <v>0</v>
      </c>
    </row>
    <row r="20" spans="1:12">
      <c r="A20" s="1">
        <f t="shared" si="1"/>
        <v>18</v>
      </c>
      <c r="B20" s="28" t="str">
        <f>июнь!B20</f>
        <v>Электроснабжение(общед.нужды)</v>
      </c>
      <c r="C20" s="8">
        <v>70829.17</v>
      </c>
      <c r="D20" s="12">
        <f>C20+июнь!D20</f>
        <v>357035.89</v>
      </c>
      <c r="E20" s="9">
        <v>71503.05</v>
      </c>
      <c r="F20" s="12">
        <f>E20+июнь!F20</f>
        <v>390808.46</v>
      </c>
      <c r="G20" s="12">
        <f t="shared" si="0"/>
        <v>673.88000000000466</v>
      </c>
      <c r="H20" s="13">
        <f t="shared" si="0"/>
        <v>33772.570000000007</v>
      </c>
      <c r="I20" s="9"/>
      <c r="J20" s="13">
        <f>I20+июнь!J20</f>
        <v>0</v>
      </c>
      <c r="K20" s="8"/>
      <c r="L20" s="12">
        <f>K20+июнь!L20</f>
        <v>0</v>
      </c>
    </row>
    <row r="21" spans="1:12">
      <c r="A21" s="1">
        <f t="shared" si="1"/>
        <v>19</v>
      </c>
      <c r="B21" s="28" t="str">
        <f>июнь!B21</f>
        <v>Горячее водоснабж.(о/д нужды)</v>
      </c>
      <c r="C21" s="8">
        <f>0+0</f>
        <v>0</v>
      </c>
      <c r="D21" s="12">
        <f>C21+июнь!D21</f>
        <v>0</v>
      </c>
      <c r="E21" s="9">
        <f>0+0</f>
        <v>0</v>
      </c>
      <c r="F21" s="12">
        <f>E21+июнь!F21</f>
        <v>0</v>
      </c>
      <c r="G21" s="12">
        <f t="shared" si="0"/>
        <v>0</v>
      </c>
      <c r="H21" s="13">
        <f t="shared" si="0"/>
        <v>0</v>
      </c>
      <c r="I21" s="9"/>
      <c r="J21" s="13">
        <f>I21+июнь!J21</f>
        <v>0</v>
      </c>
      <c r="K21" s="8"/>
      <c r="L21" s="12">
        <f>K21+июнь!L21</f>
        <v>0</v>
      </c>
    </row>
    <row r="22" spans="1:12">
      <c r="A22" s="1">
        <f t="shared" si="1"/>
        <v>20</v>
      </c>
      <c r="B22" s="28">
        <f>июнь!B22</f>
        <v>0</v>
      </c>
      <c r="C22" s="8"/>
      <c r="D22" s="12">
        <f>C22+июнь!D22</f>
        <v>0</v>
      </c>
      <c r="E22" s="9"/>
      <c r="F22" s="12">
        <f>E22+июнь!F22</f>
        <v>0</v>
      </c>
      <c r="G22" s="12">
        <f t="shared" si="0"/>
        <v>0</v>
      </c>
      <c r="H22" s="13">
        <f t="shared" si="0"/>
        <v>0</v>
      </c>
      <c r="I22" s="9"/>
      <c r="J22" s="13">
        <f>I22+июнь!J22</f>
        <v>0</v>
      </c>
      <c r="K22" s="8"/>
      <c r="L22" s="12">
        <f>K22+июнь!L22</f>
        <v>0</v>
      </c>
    </row>
    <row r="23" spans="1:12">
      <c r="A23" s="1"/>
      <c r="B23" s="17" t="s">
        <v>12</v>
      </c>
      <c r="C23" s="12">
        <f t="shared" ref="C23:L23" si="2">SUM(C3:C22)</f>
        <v>205245.72999999998</v>
      </c>
      <c r="D23" s="12">
        <f t="shared" si="2"/>
        <v>1532583.46</v>
      </c>
      <c r="E23" s="13">
        <f t="shared" si="2"/>
        <v>243435.63</v>
      </c>
      <c r="F23" s="12">
        <f t="shared" si="2"/>
        <v>1741645.7500000002</v>
      </c>
      <c r="G23" s="12">
        <f t="shared" si="2"/>
        <v>38189.9</v>
      </c>
      <c r="H23" s="13">
        <f t="shared" si="2"/>
        <v>209062.28999999995</v>
      </c>
      <c r="I23" s="13">
        <f t="shared" si="2"/>
        <v>0</v>
      </c>
      <c r="J23" s="13">
        <f t="shared" si="2"/>
        <v>0</v>
      </c>
      <c r="K23" s="12">
        <f t="shared" si="2"/>
        <v>0</v>
      </c>
      <c r="L23" s="12">
        <f t="shared" si="2"/>
        <v>0</v>
      </c>
    </row>
    <row r="25" spans="1:12" ht="1.5" customHeight="1"/>
    <row r="26" spans="1:12" hidden="1"/>
    <row r="27" spans="1:12" hidden="1"/>
    <row r="28" spans="1:12">
      <c r="B28" s="1" t="s">
        <v>35</v>
      </c>
      <c r="C28" s="9">
        <f>C9+C10+C11+C15+C17+C18+C22</f>
        <v>33717.08</v>
      </c>
      <c r="D28" s="9">
        <f t="shared" ref="D28:J28" si="3">D9+D10+D11+D15+D17+D18+D22</f>
        <v>181112.52000000002</v>
      </c>
      <c r="E28" s="9">
        <f t="shared" si="3"/>
        <v>36692.36</v>
      </c>
      <c r="F28" s="9">
        <f t="shared" si="3"/>
        <v>197595.56</v>
      </c>
      <c r="G28" s="9">
        <f t="shared" si="3"/>
        <v>2975.28</v>
      </c>
      <c r="H28" s="9">
        <f t="shared" si="3"/>
        <v>16483.039999999972</v>
      </c>
      <c r="I28" s="9">
        <f t="shared" si="3"/>
        <v>0</v>
      </c>
      <c r="J28" s="9">
        <f t="shared" si="3"/>
        <v>0</v>
      </c>
    </row>
    <row r="29" spans="1:12">
      <c r="B29" s="1" t="s">
        <v>36</v>
      </c>
      <c r="C29" s="9">
        <f>C8+C20</f>
        <v>108189.32</v>
      </c>
      <c r="D29" s="9">
        <f t="shared" ref="D29:J29" si="4">D8+D20</f>
        <v>570441.46</v>
      </c>
      <c r="E29" s="9">
        <f t="shared" si="4"/>
        <v>112857</v>
      </c>
      <c r="F29" s="9">
        <f t="shared" si="4"/>
        <v>624281.67999999993</v>
      </c>
      <c r="G29" s="9">
        <f t="shared" si="4"/>
        <v>4667.68</v>
      </c>
      <c r="H29" s="9">
        <f t="shared" si="4"/>
        <v>53840.219999999972</v>
      </c>
      <c r="I29" s="9">
        <f t="shared" si="4"/>
        <v>0</v>
      </c>
      <c r="J29" s="9">
        <f t="shared" si="4"/>
        <v>0</v>
      </c>
    </row>
    <row r="30" spans="1:12">
      <c r="B30" s="1" t="s">
        <v>37</v>
      </c>
      <c r="C30" s="9">
        <f>C4+C5+C21+C19</f>
        <v>0</v>
      </c>
      <c r="D30" s="9">
        <f t="shared" ref="D30:J30" si="5">D4+D5+D21+D19</f>
        <v>425773</v>
      </c>
      <c r="E30" s="9">
        <f t="shared" si="5"/>
        <v>25444.75</v>
      </c>
      <c r="F30" s="9">
        <f t="shared" si="5"/>
        <v>534456.82999999996</v>
      </c>
      <c r="G30" s="9">
        <f t="shared" si="5"/>
        <v>25444.75</v>
      </c>
      <c r="H30" s="9">
        <f t="shared" si="5"/>
        <v>108683.82999999996</v>
      </c>
      <c r="I30" s="9">
        <f t="shared" si="5"/>
        <v>0</v>
      </c>
      <c r="J30" s="9">
        <f t="shared" si="5"/>
        <v>0</v>
      </c>
    </row>
    <row r="34" spans="5:6">
      <c r="E34">
        <v>33596.17</v>
      </c>
      <c r="F34">
        <v>26926.52</v>
      </c>
    </row>
    <row r="35" spans="5:6">
      <c r="E35">
        <v>171649.56</v>
      </c>
      <c r="F35">
        <v>216509.11</v>
      </c>
    </row>
    <row r="36" spans="5:6">
      <c r="E36" s="11">
        <f>E34+E35</f>
        <v>205245.72999999998</v>
      </c>
      <c r="F36" s="11">
        <f>F34+F35</f>
        <v>243435.62999999998</v>
      </c>
    </row>
  </sheetData>
  <mergeCells count="1">
    <mergeCell ref="D1:G1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6"/>
  <sheetViews>
    <sheetView workbookViewId="0">
      <selection activeCell="H38" sqref="H38"/>
    </sheetView>
  </sheetViews>
  <sheetFormatPr defaultRowHeight="12.75"/>
  <cols>
    <col min="1" max="1" width="3.28515625" customWidth="1"/>
    <col min="2" max="2" width="33.7109375" customWidth="1"/>
    <col min="3" max="3" width="12.42578125" customWidth="1"/>
    <col min="4" max="4" width="11.140625" customWidth="1"/>
    <col min="5" max="5" width="12" customWidth="1"/>
    <col min="6" max="6" width="11.42578125" customWidth="1"/>
    <col min="7" max="7" width="10.7109375" customWidth="1"/>
    <col min="8" max="8" width="11" customWidth="1"/>
    <col min="9" max="9" width="10.85546875" customWidth="1"/>
    <col min="10" max="10" width="12.140625" customWidth="1"/>
    <col min="11" max="11" width="9.28515625" bestFit="1" customWidth="1"/>
    <col min="12" max="12" width="11.28515625" customWidth="1"/>
  </cols>
  <sheetData>
    <row r="2" spans="1:12" s="27" customFormat="1" ht="38.25">
      <c r="A2" s="21" t="s">
        <v>0</v>
      </c>
      <c r="B2" s="22" t="s">
        <v>1</v>
      </c>
      <c r="C2" s="23" t="s">
        <v>2</v>
      </c>
      <c r="D2" s="24" t="s">
        <v>3</v>
      </c>
      <c r="E2" s="25" t="s">
        <v>4</v>
      </c>
      <c r="F2" s="24" t="s">
        <v>5</v>
      </c>
      <c r="G2" s="24" t="s">
        <v>6</v>
      </c>
      <c r="H2" s="26" t="s">
        <v>7</v>
      </c>
      <c r="I2" s="25" t="s">
        <v>8</v>
      </c>
      <c r="J2" s="26" t="s">
        <v>9</v>
      </c>
      <c r="K2" s="22" t="s">
        <v>10</v>
      </c>
      <c r="L2" s="24" t="s">
        <v>11</v>
      </c>
    </row>
    <row r="3" spans="1:12">
      <c r="A3" s="1">
        <v>1</v>
      </c>
      <c r="B3" s="28" t="str">
        <f>июль!B3</f>
        <v>Содержание общ.имущ.дома</v>
      </c>
      <c r="C3" s="8">
        <f>4850.92+27554.01</f>
        <v>32404.93</v>
      </c>
      <c r="D3" s="12">
        <f>C3+июль!D3</f>
        <v>215670.00999999998</v>
      </c>
      <c r="E3" s="9">
        <f>36181.86+4157.58</f>
        <v>40339.440000000002</v>
      </c>
      <c r="F3" s="12">
        <f>E3+июль!F3</f>
        <v>239083.71000000002</v>
      </c>
      <c r="G3" s="12">
        <f>E3-C3</f>
        <v>7934.510000000002</v>
      </c>
      <c r="H3" s="13">
        <f t="shared" ref="G3:H22" si="0">F3-D3</f>
        <v>23413.700000000041</v>
      </c>
      <c r="I3" s="9"/>
      <c r="J3" s="13">
        <f>I3+июль!J3</f>
        <v>0</v>
      </c>
      <c r="K3" s="8"/>
      <c r="L3" s="12">
        <f>K3+июль!L3</f>
        <v>0</v>
      </c>
    </row>
    <row r="4" spans="1:12">
      <c r="A4" s="1">
        <f>A3+1</f>
        <v>2</v>
      </c>
      <c r="B4" s="28" t="str">
        <f>июль!B4</f>
        <v>Отопление</v>
      </c>
      <c r="C4" s="8">
        <f>0+0</f>
        <v>0</v>
      </c>
      <c r="D4" s="12">
        <f>C4+июль!D4</f>
        <v>425773</v>
      </c>
      <c r="E4" s="9">
        <f>1082.59+22700.32</f>
        <v>23782.91</v>
      </c>
      <c r="F4" s="12">
        <f>E4+июль!F4</f>
        <v>558239.74</v>
      </c>
      <c r="G4" s="12">
        <f t="shared" si="0"/>
        <v>23782.91</v>
      </c>
      <c r="H4" s="13">
        <f t="shared" si="0"/>
        <v>132466.74</v>
      </c>
      <c r="I4" s="9"/>
      <c r="J4" s="13">
        <f>I4+июль!J4</f>
        <v>0</v>
      </c>
      <c r="K4" s="8"/>
      <c r="L4" s="12">
        <f>K4+июль!L4</f>
        <v>0</v>
      </c>
    </row>
    <row r="5" spans="1:12">
      <c r="A5" s="1">
        <f t="shared" ref="A5:A22" si="1">A4+1</f>
        <v>3</v>
      </c>
      <c r="B5" s="28" t="str">
        <f>июль!B5</f>
        <v>Горячее водоснабжение</v>
      </c>
      <c r="C5" s="8">
        <f>0+0</f>
        <v>0</v>
      </c>
      <c r="D5" s="12">
        <f>C5+июль!D5</f>
        <v>0</v>
      </c>
      <c r="E5" s="9">
        <f>0+0</f>
        <v>0</v>
      </c>
      <c r="F5" s="12">
        <f>E5+июль!F5</f>
        <v>0</v>
      </c>
      <c r="G5" s="12">
        <f t="shared" si="0"/>
        <v>0</v>
      </c>
      <c r="H5" s="13">
        <f t="shared" si="0"/>
        <v>0</v>
      </c>
      <c r="I5" s="9"/>
      <c r="J5" s="13">
        <f>I5+июль!J5</f>
        <v>0</v>
      </c>
      <c r="K5" s="8"/>
      <c r="L5" s="12">
        <f>K5+июль!L5</f>
        <v>0</v>
      </c>
    </row>
    <row r="6" spans="1:12">
      <c r="A6" s="1">
        <f t="shared" si="1"/>
        <v>4</v>
      </c>
      <c r="B6" s="28" t="str">
        <f>июль!B6</f>
        <v>Газ</v>
      </c>
      <c r="C6" s="8">
        <f>0+0</f>
        <v>0</v>
      </c>
      <c r="D6" s="12">
        <f>C6+июль!D6</f>
        <v>0</v>
      </c>
      <c r="E6" s="9">
        <f>0+0</f>
        <v>0</v>
      </c>
      <c r="F6" s="12">
        <f>E6+июль!F6</f>
        <v>0</v>
      </c>
      <c r="G6" s="12">
        <f t="shared" si="0"/>
        <v>0</v>
      </c>
      <c r="H6" s="13">
        <f t="shared" si="0"/>
        <v>0</v>
      </c>
      <c r="I6" s="9"/>
      <c r="J6" s="13">
        <f>I6+июль!J6</f>
        <v>0</v>
      </c>
      <c r="K6" s="8"/>
      <c r="L6" s="12">
        <f>K6+июль!L6</f>
        <v>0</v>
      </c>
    </row>
    <row r="7" spans="1:12" ht="13.5" customHeight="1">
      <c r="A7" s="1">
        <f t="shared" si="1"/>
        <v>5</v>
      </c>
      <c r="B7" s="28" t="str">
        <f>июль!B7</f>
        <v>Уборка и сан.очистка зем.уч.</v>
      </c>
      <c r="C7" s="8">
        <f>4237.36+745.98</f>
        <v>4983.34</v>
      </c>
      <c r="D7" s="12">
        <f>C7+июль!D7</f>
        <v>30662.23</v>
      </c>
      <c r="E7" s="9">
        <f>629.21+5419.63</f>
        <v>6048.84</v>
      </c>
      <c r="F7" s="12">
        <f>E7+июль!F7</f>
        <v>33766.75</v>
      </c>
      <c r="G7" s="12">
        <f t="shared" si="0"/>
        <v>1065.5</v>
      </c>
      <c r="H7" s="13">
        <f t="shared" si="0"/>
        <v>3104.5200000000004</v>
      </c>
      <c r="I7" s="9"/>
      <c r="J7" s="13">
        <f>I7+июль!J7</f>
        <v>0</v>
      </c>
      <c r="K7" s="8"/>
      <c r="L7" s="12">
        <f>K7+июль!L7</f>
        <v>0</v>
      </c>
    </row>
    <row r="8" spans="1:12" ht="18" customHeight="1">
      <c r="A8" s="1">
        <f t="shared" si="1"/>
        <v>6</v>
      </c>
      <c r="B8" s="28" t="str">
        <f>июль!B8</f>
        <v>Электроснабжение (инд.потр)</v>
      </c>
      <c r="C8" s="8">
        <f>28697.17+7139.88</f>
        <v>35837.049999999996</v>
      </c>
      <c r="D8" s="12">
        <f>C8+июль!D8</f>
        <v>249242.62</v>
      </c>
      <c r="E8" s="9">
        <f>6131.8+39964.34</f>
        <v>46096.14</v>
      </c>
      <c r="F8" s="12">
        <f>E8+июль!F8</f>
        <v>279569.36</v>
      </c>
      <c r="G8" s="12">
        <f t="shared" si="0"/>
        <v>10259.090000000004</v>
      </c>
      <c r="H8" s="13">
        <f t="shared" si="0"/>
        <v>30326.739999999991</v>
      </c>
      <c r="I8" s="9"/>
      <c r="J8" s="13">
        <f>I8+июль!J8</f>
        <v>0</v>
      </c>
      <c r="K8" s="8"/>
      <c r="L8" s="12">
        <f>K8+июль!L8</f>
        <v>0</v>
      </c>
    </row>
    <row r="9" spans="1:12">
      <c r="A9" s="1">
        <f t="shared" si="1"/>
        <v>7</v>
      </c>
      <c r="B9" s="28" t="str">
        <f>июль!B9</f>
        <v>Хол.вода</v>
      </c>
      <c r="C9" s="8">
        <f>12722.43+3327.99</f>
        <v>16050.42</v>
      </c>
      <c r="D9" s="12">
        <f>C9+июль!D9</f>
        <v>105935.40000000001</v>
      </c>
      <c r="E9" s="9">
        <f>2863.24+16287.79</f>
        <v>19151.03</v>
      </c>
      <c r="F9" s="12">
        <f>E9+июль!F9</f>
        <v>117275.65</v>
      </c>
      <c r="G9" s="12">
        <f t="shared" si="0"/>
        <v>3100.6099999999988</v>
      </c>
      <c r="H9" s="13">
        <f t="shared" si="0"/>
        <v>11340.249999999985</v>
      </c>
      <c r="I9" s="9"/>
      <c r="J9" s="13">
        <f>I9+июль!J9</f>
        <v>0</v>
      </c>
      <c r="K9" s="8"/>
      <c r="L9" s="12">
        <f>K9+июль!L9</f>
        <v>0</v>
      </c>
    </row>
    <row r="10" spans="1:12">
      <c r="A10" s="1">
        <f t="shared" si="1"/>
        <v>8</v>
      </c>
      <c r="B10" s="28" t="str">
        <f>июль!B10</f>
        <v>Канализир.х.воды</v>
      </c>
      <c r="C10" s="8">
        <f>0+0</f>
        <v>0</v>
      </c>
      <c r="D10" s="12">
        <f>C10+июль!D10</f>
        <v>0</v>
      </c>
      <c r="E10" s="9">
        <f>0+0</f>
        <v>0</v>
      </c>
      <c r="F10" s="12">
        <f>E10+июль!F10</f>
        <v>0</v>
      </c>
      <c r="G10" s="12">
        <f t="shared" si="0"/>
        <v>0</v>
      </c>
      <c r="H10" s="13">
        <f t="shared" si="0"/>
        <v>0</v>
      </c>
      <c r="I10" s="9"/>
      <c r="J10" s="13">
        <f>I10+июль!J10</f>
        <v>0</v>
      </c>
      <c r="K10" s="8"/>
      <c r="L10" s="12">
        <f>K10+июль!L10</f>
        <v>0</v>
      </c>
    </row>
    <row r="11" spans="1:12">
      <c r="A11" s="1">
        <f t="shared" si="1"/>
        <v>9</v>
      </c>
      <c r="B11" s="28" t="str">
        <f>июль!B11</f>
        <v>Канализир.г.воды</v>
      </c>
      <c r="C11" s="8">
        <f>0+0</f>
        <v>0</v>
      </c>
      <c r="D11" s="12">
        <f>C11+июль!D11</f>
        <v>0</v>
      </c>
      <c r="E11" s="9">
        <f>0+0</f>
        <v>0</v>
      </c>
      <c r="F11" s="12">
        <f>E11+июль!F11</f>
        <v>0</v>
      </c>
      <c r="G11" s="12">
        <f t="shared" si="0"/>
        <v>0</v>
      </c>
      <c r="H11" s="13">
        <f t="shared" si="0"/>
        <v>0</v>
      </c>
      <c r="I11" s="9"/>
      <c r="J11" s="13">
        <f>I11+июль!J11</f>
        <v>0</v>
      </c>
      <c r="K11" s="8"/>
      <c r="L11" s="12">
        <f>K11+июль!L11</f>
        <v>0</v>
      </c>
    </row>
    <row r="12" spans="1:12">
      <c r="A12" s="1">
        <f t="shared" si="1"/>
        <v>10</v>
      </c>
      <c r="B12" s="28" t="str">
        <f>июль!B12</f>
        <v>Тек.рем.общ.имущ.дома</v>
      </c>
      <c r="C12" s="8">
        <f>14378.98+2531.45</f>
        <v>16910.43</v>
      </c>
      <c r="D12" s="12">
        <f>C12+июль!D12</f>
        <v>113335.70999999999</v>
      </c>
      <c r="E12" s="9">
        <f>2172.83+18980.18</f>
        <v>21153.010000000002</v>
      </c>
      <c r="F12" s="12">
        <f>E12+июль!F12</f>
        <v>126271.30000000002</v>
      </c>
      <c r="G12" s="12">
        <f t="shared" si="0"/>
        <v>4242.5800000000017</v>
      </c>
      <c r="H12" s="13">
        <f t="shared" si="0"/>
        <v>12935.590000000026</v>
      </c>
      <c r="I12" s="9"/>
      <c r="J12" s="13">
        <f>I12+июль!J12</f>
        <v>0</v>
      </c>
      <c r="K12" s="8"/>
      <c r="L12" s="12">
        <f>K12+июль!L12</f>
        <v>0</v>
      </c>
    </row>
    <row r="13" spans="1:12" ht="16.5" customHeight="1">
      <c r="A13" s="1">
        <f t="shared" si="1"/>
        <v>11</v>
      </c>
      <c r="B13" s="28" t="str">
        <f>июль!B13</f>
        <v>Сод.и тек.рем.в/дом.газосн.</v>
      </c>
      <c r="C13" s="8">
        <f>1574.5+277.18</f>
        <v>1851.68</v>
      </c>
      <c r="D13" s="12">
        <f>C13+июль!D13</f>
        <v>12553.86</v>
      </c>
      <c r="E13" s="9">
        <f>238.5+2087.3</f>
        <v>2325.8000000000002</v>
      </c>
      <c r="F13" s="12">
        <f>E13+июль!F13</f>
        <v>14004.650000000001</v>
      </c>
      <c r="G13" s="12">
        <f t="shared" si="0"/>
        <v>474.12000000000012</v>
      </c>
      <c r="H13" s="13">
        <f t="shared" si="0"/>
        <v>1450.7900000000009</v>
      </c>
      <c r="I13" s="9"/>
      <c r="J13" s="13">
        <f>I13+июль!J13</f>
        <v>0</v>
      </c>
      <c r="K13" s="8"/>
      <c r="L13" s="12">
        <f>K13+июль!L13</f>
        <v>0</v>
      </c>
    </row>
    <row r="14" spans="1:12" ht="18" customHeight="1">
      <c r="A14" s="1">
        <f t="shared" si="1"/>
        <v>12</v>
      </c>
      <c r="B14" s="28" t="str">
        <f>июль!B14</f>
        <v>Управление многокв.дом.</v>
      </c>
      <c r="C14" s="8">
        <f>5950.73+1047.65</f>
        <v>6998.3799999999992</v>
      </c>
      <c r="D14" s="12">
        <f>C14+июль!D14</f>
        <v>45176.159999999996</v>
      </c>
      <c r="E14" s="9">
        <f>892.24+7669.72</f>
        <v>8561.9600000000009</v>
      </c>
      <c r="F14" s="12">
        <f>E14+июль!F14</f>
        <v>49506.97</v>
      </c>
      <c r="G14" s="12">
        <f t="shared" si="0"/>
        <v>1563.5800000000017</v>
      </c>
      <c r="H14" s="13">
        <f t="shared" si="0"/>
        <v>4330.8100000000049</v>
      </c>
      <c r="I14" s="9"/>
      <c r="J14" s="13">
        <f>I14+июль!J14</f>
        <v>0</v>
      </c>
      <c r="K14" s="8"/>
      <c r="L14" s="12">
        <f>K14+июль!L14</f>
        <v>0</v>
      </c>
    </row>
    <row r="15" spans="1:12">
      <c r="A15" s="1">
        <f t="shared" si="1"/>
        <v>13</v>
      </c>
      <c r="B15" s="28" t="str">
        <f>июль!B15</f>
        <v>Водоотведение(кв)</v>
      </c>
      <c r="C15" s="8">
        <f>3327.99+12722.43</f>
        <v>16050.42</v>
      </c>
      <c r="D15" s="12">
        <f>C15+июль!D15</f>
        <v>105935.40000000001</v>
      </c>
      <c r="E15" s="9">
        <f>16287.78+2863.24</f>
        <v>19151.02</v>
      </c>
      <c r="F15" s="12">
        <f>E15+июль!F15</f>
        <v>117275.64</v>
      </c>
      <c r="G15" s="12">
        <f t="shared" si="0"/>
        <v>3100.6000000000004</v>
      </c>
      <c r="H15" s="13">
        <f t="shared" si="0"/>
        <v>11340.239999999991</v>
      </c>
      <c r="I15" s="9"/>
      <c r="J15" s="13">
        <f>I15+июль!J15</f>
        <v>0</v>
      </c>
      <c r="K15" s="8"/>
      <c r="L15" s="12">
        <f>K15+июль!L15</f>
        <v>0</v>
      </c>
    </row>
    <row r="16" spans="1:12" ht="14.25" customHeight="1">
      <c r="A16" s="1">
        <f t="shared" si="1"/>
        <v>14</v>
      </c>
      <c r="B16" s="28" t="str">
        <f>июль!B16</f>
        <v>Эксплуатация общедом.ПУ</v>
      </c>
      <c r="C16" s="8">
        <f>28.53+162.04</f>
        <v>190.57</v>
      </c>
      <c r="D16" s="12">
        <f>C16+июль!D16</f>
        <v>1197.8399999999999</v>
      </c>
      <c r="E16" s="9">
        <f>209.35+24.18</f>
        <v>233.53</v>
      </c>
      <c r="F16" s="12">
        <f>E16+июль!F16</f>
        <v>1340.88</v>
      </c>
      <c r="G16" s="12">
        <f t="shared" si="0"/>
        <v>42.960000000000008</v>
      </c>
      <c r="H16" s="13">
        <f t="shared" si="0"/>
        <v>143.04000000000019</v>
      </c>
      <c r="I16" s="9"/>
      <c r="J16" s="13">
        <f>I16+июль!J16</f>
        <v>0</v>
      </c>
      <c r="K16" s="8"/>
      <c r="L16" s="12">
        <f>K16+июль!L16</f>
        <v>0</v>
      </c>
    </row>
    <row r="17" spans="1:12" ht="16.5" customHeight="1">
      <c r="A17" s="1">
        <f t="shared" si="1"/>
        <v>15</v>
      </c>
      <c r="B17" s="28" t="str">
        <f>июль!B17</f>
        <v>Хол.водоснабж.(о/д нужды)</v>
      </c>
      <c r="C17" s="8">
        <f>52.08+294</f>
        <v>346.08</v>
      </c>
      <c r="D17" s="12">
        <f>C17+июль!D17</f>
        <v>1688.6399999999999</v>
      </c>
      <c r="E17" s="9">
        <f>349.62+42.97</f>
        <v>392.59000000000003</v>
      </c>
      <c r="F17" s="12">
        <f>E17+июль!F17</f>
        <v>1738.9100000000003</v>
      </c>
      <c r="G17" s="12">
        <f t="shared" si="0"/>
        <v>46.510000000000048</v>
      </c>
      <c r="H17" s="13">
        <f t="shared" si="0"/>
        <v>50.270000000000437</v>
      </c>
      <c r="I17" s="9"/>
      <c r="J17" s="13">
        <f>I17+июль!J17</f>
        <v>0</v>
      </c>
      <c r="K17" s="8"/>
      <c r="L17" s="12">
        <f>K17+июль!L17</f>
        <v>0</v>
      </c>
    </row>
    <row r="18" spans="1:12" ht="16.5" customHeight="1">
      <c r="A18" s="1">
        <f t="shared" si="1"/>
        <v>16</v>
      </c>
      <c r="B18" s="28" t="str">
        <f>июль!B18</f>
        <v>Водоотведение(о/д нужды)</v>
      </c>
      <c r="C18" s="8">
        <f>0+0</f>
        <v>0</v>
      </c>
      <c r="D18" s="12">
        <f>C18+июль!D18</f>
        <v>0</v>
      </c>
      <c r="E18" s="9">
        <f>0+0</f>
        <v>0</v>
      </c>
      <c r="F18" s="12">
        <f>E18+июль!F18</f>
        <v>0</v>
      </c>
      <c r="G18" s="12">
        <f t="shared" si="0"/>
        <v>0</v>
      </c>
      <c r="H18" s="13">
        <f t="shared" si="0"/>
        <v>0</v>
      </c>
      <c r="I18" s="9"/>
      <c r="J18" s="13">
        <f>I18+июль!J18</f>
        <v>0</v>
      </c>
      <c r="K18" s="8"/>
      <c r="L18" s="12">
        <f>K18+июль!L18</f>
        <v>0</v>
      </c>
    </row>
    <row r="19" spans="1:12">
      <c r="A19" s="1">
        <f t="shared" si="1"/>
        <v>17</v>
      </c>
      <c r="B19" s="28" t="str">
        <f>июль!B19</f>
        <v>Отопление(о/д нужды)</v>
      </c>
      <c r="C19" s="8">
        <f>0+0</f>
        <v>0</v>
      </c>
      <c r="D19" s="12">
        <f>C19+июль!D19</f>
        <v>0</v>
      </c>
      <c r="E19" s="9">
        <f>0+0</f>
        <v>0</v>
      </c>
      <c r="F19" s="12">
        <f>E19+июль!F19</f>
        <v>0</v>
      </c>
      <c r="G19" s="12">
        <f t="shared" si="0"/>
        <v>0</v>
      </c>
      <c r="H19" s="13">
        <f t="shared" si="0"/>
        <v>0</v>
      </c>
      <c r="I19" s="9"/>
      <c r="J19" s="13">
        <f>I19+июль!J19</f>
        <v>0</v>
      </c>
      <c r="K19" s="8"/>
      <c r="L19" s="12">
        <f>K19+июль!L19</f>
        <v>0</v>
      </c>
    </row>
    <row r="20" spans="1:12" ht="15.75" customHeight="1">
      <c r="A20" s="1">
        <f t="shared" si="1"/>
        <v>18</v>
      </c>
      <c r="B20" s="28" t="str">
        <f>июль!B20</f>
        <v>Электроснабжение(общед.нужды)</v>
      </c>
      <c r="C20" s="8">
        <f>115852.99+10431.05</f>
        <v>126284.04000000001</v>
      </c>
      <c r="D20" s="12">
        <f>C20+июль!D20</f>
        <v>483319.93000000005</v>
      </c>
      <c r="E20" s="9">
        <f>9071.76+79214.97</f>
        <v>88286.73</v>
      </c>
      <c r="F20" s="12">
        <f>E20+июль!F20</f>
        <v>479095.19</v>
      </c>
      <c r="G20" s="12">
        <f t="shared" si="0"/>
        <v>-37997.310000000012</v>
      </c>
      <c r="H20" s="13">
        <f t="shared" si="0"/>
        <v>-4224.7400000000489</v>
      </c>
      <c r="I20" s="9"/>
      <c r="J20" s="13">
        <f>I20+июль!J20</f>
        <v>0</v>
      </c>
      <c r="K20" s="8"/>
      <c r="L20" s="12">
        <f>K20+июль!L20</f>
        <v>0</v>
      </c>
    </row>
    <row r="21" spans="1:12" ht="14.25" customHeight="1">
      <c r="A21" s="1">
        <f t="shared" si="1"/>
        <v>19</v>
      </c>
      <c r="B21" s="28" t="str">
        <f>июль!B21</f>
        <v>Горячее водоснабж.(о/д нужды)</v>
      </c>
      <c r="C21" s="8">
        <f>0+0</f>
        <v>0</v>
      </c>
      <c r="D21" s="12">
        <f>C21+июль!D21</f>
        <v>0</v>
      </c>
      <c r="E21" s="9">
        <f>0+0</f>
        <v>0</v>
      </c>
      <c r="F21" s="12">
        <f>E21+июль!F21</f>
        <v>0</v>
      </c>
      <c r="G21" s="12">
        <f t="shared" si="0"/>
        <v>0</v>
      </c>
      <c r="H21" s="13">
        <f t="shared" si="0"/>
        <v>0</v>
      </c>
      <c r="I21" s="9"/>
      <c r="J21" s="13">
        <f>I21+июль!J21</f>
        <v>0</v>
      </c>
      <c r="K21" s="8"/>
      <c r="L21" s="12">
        <f>K21+июль!L21</f>
        <v>0</v>
      </c>
    </row>
    <row r="22" spans="1:12">
      <c r="A22" s="1">
        <f t="shared" si="1"/>
        <v>20</v>
      </c>
      <c r="B22" s="28">
        <f>июль!B22</f>
        <v>0</v>
      </c>
      <c r="C22" s="8">
        <f>0+0</f>
        <v>0</v>
      </c>
      <c r="D22" s="12">
        <f>C22+июль!D22</f>
        <v>0</v>
      </c>
      <c r="E22" s="9">
        <f>0+0</f>
        <v>0</v>
      </c>
      <c r="F22" s="12">
        <f>E22+июль!F22</f>
        <v>0</v>
      </c>
      <c r="G22" s="12">
        <f t="shared" si="0"/>
        <v>0</v>
      </c>
      <c r="H22" s="13">
        <f t="shared" si="0"/>
        <v>0</v>
      </c>
      <c r="I22" s="9"/>
      <c r="J22" s="13">
        <f>I22+июль!J22</f>
        <v>0</v>
      </c>
      <c r="K22" s="8"/>
      <c r="L22" s="12">
        <f>K22+июль!L22</f>
        <v>0</v>
      </c>
    </row>
    <row r="23" spans="1:12">
      <c r="A23" s="18"/>
      <c r="B23" s="17" t="s">
        <v>12</v>
      </c>
      <c r="C23" s="57">
        <f t="shared" ref="C23:L23" si="2">SUM(C3:C22)</f>
        <v>257907.34000000003</v>
      </c>
      <c r="D23" s="12">
        <f t="shared" si="2"/>
        <v>1790490.7999999998</v>
      </c>
      <c r="E23" s="58">
        <f t="shared" si="2"/>
        <v>275522.99999999994</v>
      </c>
      <c r="F23" s="12">
        <f t="shared" si="2"/>
        <v>2017168.7499999995</v>
      </c>
      <c r="G23" s="12">
        <f t="shared" si="2"/>
        <v>17615.659999999996</v>
      </c>
      <c r="H23" s="13">
        <f t="shared" si="2"/>
        <v>226677.94999999998</v>
      </c>
      <c r="I23" s="13">
        <f t="shared" si="2"/>
        <v>0</v>
      </c>
      <c r="J23" s="13">
        <f t="shared" si="2"/>
        <v>0</v>
      </c>
      <c r="K23" s="12">
        <f t="shared" si="2"/>
        <v>0</v>
      </c>
      <c r="L23" s="12">
        <f t="shared" si="2"/>
        <v>0</v>
      </c>
    </row>
    <row r="24" spans="1:12" ht="6" customHeight="1"/>
    <row r="25" spans="1:12" hidden="1"/>
    <row r="26" spans="1:12" hidden="1"/>
    <row r="27" spans="1:12" ht="3" customHeight="1">
      <c r="C27" s="19"/>
    </row>
    <row r="28" spans="1:12">
      <c r="B28" s="1" t="s">
        <v>35</v>
      </c>
      <c r="C28" s="9">
        <f>C9+C10+C11+C15+C17+C18+C22</f>
        <v>32446.920000000002</v>
      </c>
      <c r="D28" s="9">
        <f t="shared" ref="D28:J28" si="3">D9+D10+D11+D15+D17+D18+D22</f>
        <v>213559.44000000003</v>
      </c>
      <c r="E28" s="9">
        <f t="shared" si="3"/>
        <v>38694.639999999999</v>
      </c>
      <c r="F28" s="9">
        <f t="shared" si="3"/>
        <v>236290.19999999998</v>
      </c>
      <c r="G28" s="9">
        <f t="shared" si="3"/>
        <v>6247.7199999999993</v>
      </c>
      <c r="H28" s="9">
        <f t="shared" si="3"/>
        <v>22730.759999999977</v>
      </c>
      <c r="I28" s="9">
        <f t="shared" si="3"/>
        <v>0</v>
      </c>
      <c r="J28" s="9">
        <f t="shared" si="3"/>
        <v>0</v>
      </c>
    </row>
    <row r="29" spans="1:12">
      <c r="B29" s="1" t="s">
        <v>36</v>
      </c>
      <c r="C29" s="9">
        <f>C8+C20</f>
        <v>162121.09</v>
      </c>
      <c r="D29" s="9">
        <f t="shared" ref="D29:J29" si="4">D8+D20</f>
        <v>732562.55</v>
      </c>
      <c r="E29" s="9">
        <f t="shared" si="4"/>
        <v>134382.87</v>
      </c>
      <c r="F29" s="9">
        <f t="shared" si="4"/>
        <v>758664.55</v>
      </c>
      <c r="G29" s="9">
        <f t="shared" si="4"/>
        <v>-27738.220000000008</v>
      </c>
      <c r="H29" s="9">
        <f t="shared" si="4"/>
        <v>26101.999999999942</v>
      </c>
      <c r="I29" s="9">
        <f t="shared" si="4"/>
        <v>0</v>
      </c>
      <c r="J29" s="9">
        <f t="shared" si="4"/>
        <v>0</v>
      </c>
    </row>
    <row r="30" spans="1:12">
      <c r="B30" s="1" t="s">
        <v>37</v>
      </c>
      <c r="C30" s="9">
        <f>C4+C5+C21+C19</f>
        <v>0</v>
      </c>
      <c r="D30" s="9">
        <f t="shared" ref="D30:J30" si="5">D4+D5+D21+D19</f>
        <v>425773</v>
      </c>
      <c r="E30" s="9">
        <f t="shared" si="5"/>
        <v>23782.91</v>
      </c>
      <c r="F30" s="9">
        <f t="shared" si="5"/>
        <v>558239.74</v>
      </c>
      <c r="G30" s="9">
        <f t="shared" si="5"/>
        <v>23782.91</v>
      </c>
      <c r="H30" s="9">
        <f t="shared" si="5"/>
        <v>132466.74</v>
      </c>
      <c r="I30" s="9">
        <f t="shared" si="5"/>
        <v>0</v>
      </c>
      <c r="J30" s="9">
        <f t="shared" si="5"/>
        <v>0</v>
      </c>
    </row>
    <row r="34" spans="6:7">
      <c r="F34">
        <v>33760.699999999997</v>
      </c>
      <c r="G34">
        <v>30170.14</v>
      </c>
    </row>
    <row r="35" spans="6:7">
      <c r="F35">
        <v>224146.64</v>
      </c>
      <c r="G35">
        <v>245352.86</v>
      </c>
    </row>
    <row r="36" spans="6:7">
      <c r="F36" s="11">
        <f>F34+F35</f>
        <v>257907.34000000003</v>
      </c>
      <c r="G36" s="59">
        <f>G34+G35</f>
        <v>275523</v>
      </c>
    </row>
  </sheetData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activeCell="C4" sqref="C4:C5"/>
    </sheetView>
  </sheetViews>
  <sheetFormatPr defaultRowHeight="12.75"/>
  <cols>
    <col min="1" max="1" width="3.7109375" customWidth="1"/>
    <col min="2" max="2" width="31" customWidth="1"/>
    <col min="3" max="3" width="10.7109375" customWidth="1"/>
    <col min="4" max="4" width="13.28515625" customWidth="1"/>
    <col min="5" max="5" width="13.42578125" customWidth="1"/>
    <col min="6" max="6" width="12.28515625" customWidth="1"/>
    <col min="7" max="7" width="9.7109375" bestFit="1" customWidth="1"/>
    <col min="8" max="8" width="11.7109375" customWidth="1"/>
    <col min="9" max="9" width="10.5703125" customWidth="1"/>
    <col min="10" max="10" width="11.140625" customWidth="1"/>
    <col min="11" max="11" width="10.85546875" customWidth="1"/>
    <col min="12" max="12" width="11.5703125" customWidth="1"/>
  </cols>
  <sheetData>
    <row r="1" spans="1:12">
      <c r="B1" s="11" t="s">
        <v>38</v>
      </c>
    </row>
    <row r="2" spans="1:12" s="27" customFormat="1" ht="25.5">
      <c r="A2" s="21" t="s">
        <v>0</v>
      </c>
      <c r="B2" s="22" t="s">
        <v>1</v>
      </c>
      <c r="C2" s="23" t="s">
        <v>2</v>
      </c>
      <c r="D2" s="24" t="s">
        <v>3</v>
      </c>
      <c r="E2" s="25" t="s">
        <v>4</v>
      </c>
      <c r="F2" s="24" t="s">
        <v>5</v>
      </c>
      <c r="G2" s="24" t="s">
        <v>6</v>
      </c>
      <c r="H2" s="26" t="s">
        <v>7</v>
      </c>
      <c r="I2" s="25" t="s">
        <v>8</v>
      </c>
      <c r="J2" s="26" t="s">
        <v>9</v>
      </c>
      <c r="K2" s="22" t="s">
        <v>10</v>
      </c>
      <c r="L2" s="24" t="s">
        <v>11</v>
      </c>
    </row>
    <row r="3" spans="1:12">
      <c r="A3" s="1">
        <v>1</v>
      </c>
      <c r="B3" s="28" t="str">
        <f>август!B3</f>
        <v>Содержание общ.имущ.дома</v>
      </c>
      <c r="C3" s="8">
        <f>27554.01+4850.92</f>
        <v>32404.93</v>
      </c>
      <c r="D3" s="12">
        <f>C3+август!D3</f>
        <v>248074.93999999997</v>
      </c>
      <c r="E3" s="9">
        <f>26255.75+4666.89</f>
        <v>30922.639999999999</v>
      </c>
      <c r="F3" s="12">
        <f>E3+август!F3</f>
        <v>270006.35000000003</v>
      </c>
      <c r="G3" s="12">
        <f>E3-C3</f>
        <v>-1482.2900000000009</v>
      </c>
      <c r="H3" s="13">
        <f>F3-D3</f>
        <v>21931.410000000062</v>
      </c>
      <c r="I3" s="9"/>
      <c r="J3" s="13">
        <f>I3+август!J3</f>
        <v>0</v>
      </c>
      <c r="K3" s="8"/>
      <c r="L3" s="12">
        <f>K3+август!L3</f>
        <v>0</v>
      </c>
    </row>
    <row r="4" spans="1:12">
      <c r="A4" s="1">
        <f>A3+1</f>
        <v>2</v>
      </c>
      <c r="B4" s="28" t="str">
        <f>август!B4</f>
        <v>Отопление</v>
      </c>
      <c r="C4" s="8">
        <f>0+0</f>
        <v>0</v>
      </c>
      <c r="D4" s="12">
        <f>C4+август!D4</f>
        <v>425773</v>
      </c>
      <c r="E4" s="9">
        <f>4954.35+594.95</f>
        <v>5549.3</v>
      </c>
      <c r="F4" s="12">
        <f>E4+август!F4</f>
        <v>563789.04</v>
      </c>
      <c r="G4" s="12">
        <f t="shared" ref="G4:H22" si="0">E4-C4</f>
        <v>5549.3</v>
      </c>
      <c r="H4" s="13">
        <f t="shared" si="0"/>
        <v>138016.04000000004</v>
      </c>
      <c r="I4" s="9"/>
      <c r="J4" s="13">
        <f>I4+август!J4</f>
        <v>0</v>
      </c>
      <c r="K4" s="8"/>
      <c r="L4" s="12">
        <f>K4+август!L4</f>
        <v>0</v>
      </c>
    </row>
    <row r="5" spans="1:12">
      <c r="A5" s="1">
        <f t="shared" ref="A5:A22" si="1">A4+1</f>
        <v>3</v>
      </c>
      <c r="B5" s="28" t="str">
        <f>август!B5</f>
        <v>Горячее водоснабжение</v>
      </c>
      <c r="C5" s="8">
        <f>0+0</f>
        <v>0</v>
      </c>
      <c r="D5" s="12">
        <f>C5+август!D5</f>
        <v>0</v>
      </c>
      <c r="E5" s="8">
        <f>0+0</f>
        <v>0</v>
      </c>
      <c r="F5" s="12">
        <f>E5+август!F5</f>
        <v>0</v>
      </c>
      <c r="G5" s="12">
        <f t="shared" si="0"/>
        <v>0</v>
      </c>
      <c r="H5" s="13">
        <f t="shared" si="0"/>
        <v>0</v>
      </c>
      <c r="I5" s="9"/>
      <c r="J5" s="13">
        <f>I5+август!J5</f>
        <v>0</v>
      </c>
      <c r="K5" s="8"/>
      <c r="L5" s="12">
        <f>K5+август!L5</f>
        <v>0</v>
      </c>
    </row>
    <row r="6" spans="1:12">
      <c r="A6" s="1">
        <f t="shared" si="1"/>
        <v>4</v>
      </c>
      <c r="B6" s="28" t="str">
        <f>август!B6</f>
        <v>Газ</v>
      </c>
      <c r="C6" s="8">
        <f>0+0</f>
        <v>0</v>
      </c>
      <c r="D6" s="12">
        <f>C6+август!D6</f>
        <v>0</v>
      </c>
      <c r="E6" s="8">
        <f>0+0</f>
        <v>0</v>
      </c>
      <c r="F6" s="12">
        <f>E6+август!F6</f>
        <v>0</v>
      </c>
      <c r="G6" s="12">
        <f t="shared" si="0"/>
        <v>0</v>
      </c>
      <c r="H6" s="13">
        <f t="shared" si="0"/>
        <v>0</v>
      </c>
      <c r="I6" s="9"/>
      <c r="J6" s="13">
        <f>I6+август!J6</f>
        <v>0</v>
      </c>
      <c r="K6" s="8"/>
      <c r="L6" s="12">
        <f>K6+август!L6</f>
        <v>0</v>
      </c>
    </row>
    <row r="7" spans="1:12" ht="13.5" customHeight="1">
      <c r="A7" s="1">
        <f t="shared" si="1"/>
        <v>5</v>
      </c>
      <c r="B7" s="28" t="str">
        <f>август!B7</f>
        <v>Уборка и сан.очистка зем.уч.</v>
      </c>
      <c r="C7" s="8">
        <f>4237.36+745.98</f>
        <v>4983.34</v>
      </c>
      <c r="D7" s="12">
        <f>C7+август!D7</f>
        <v>35645.57</v>
      </c>
      <c r="E7" s="9">
        <f>4013.81+711.19</f>
        <v>4725</v>
      </c>
      <c r="F7" s="12">
        <f>E7+август!F7</f>
        <v>38491.75</v>
      </c>
      <c r="G7" s="12">
        <f t="shared" si="0"/>
        <v>-258.34000000000015</v>
      </c>
      <c r="H7" s="13">
        <f t="shared" si="0"/>
        <v>2846.1800000000003</v>
      </c>
      <c r="I7" s="9"/>
      <c r="J7" s="13">
        <f>I7+август!J7</f>
        <v>0</v>
      </c>
      <c r="K7" s="8"/>
      <c r="L7" s="12">
        <f>K7+август!L7</f>
        <v>0</v>
      </c>
    </row>
    <row r="8" spans="1:12" ht="17.25" customHeight="1">
      <c r="A8" s="1">
        <f t="shared" si="1"/>
        <v>6</v>
      </c>
      <c r="B8" s="28" t="str">
        <f>август!B8</f>
        <v>Электроснабжение (инд.потр)</v>
      </c>
      <c r="C8" s="8">
        <f>27792.68+7204.68</f>
        <v>34997.360000000001</v>
      </c>
      <c r="D8" s="12">
        <f>C8+август!D8</f>
        <v>284239.98</v>
      </c>
      <c r="E8" s="9">
        <f>28917.7+6876.77</f>
        <v>35794.47</v>
      </c>
      <c r="F8" s="12">
        <f>E8+август!F8</f>
        <v>315363.82999999996</v>
      </c>
      <c r="G8" s="12">
        <f t="shared" si="0"/>
        <v>797.11000000000058</v>
      </c>
      <c r="H8" s="13">
        <f t="shared" si="0"/>
        <v>31123.849999999977</v>
      </c>
      <c r="I8" s="9"/>
      <c r="J8" s="13">
        <f>I8+август!J8</f>
        <v>0</v>
      </c>
      <c r="K8" s="8"/>
      <c r="L8" s="12">
        <f>K8+август!L8</f>
        <v>0</v>
      </c>
    </row>
    <row r="9" spans="1:12">
      <c r="A9" s="1">
        <f t="shared" si="1"/>
        <v>7</v>
      </c>
      <c r="B9" s="28" t="str">
        <f>август!B9</f>
        <v>Хол.вода</v>
      </c>
      <c r="C9" s="8">
        <f>12779.03+3457.58</f>
        <v>16236.61</v>
      </c>
      <c r="D9" s="12">
        <f>C9+август!D9</f>
        <v>122172.01000000001</v>
      </c>
      <c r="E9" s="9">
        <f>13188.25+3308.88</f>
        <v>16497.13</v>
      </c>
      <c r="F9" s="12">
        <f>E9+август!F9</f>
        <v>133772.78</v>
      </c>
      <c r="G9" s="12">
        <f>E9-C9</f>
        <v>260.52000000000044</v>
      </c>
      <c r="H9" s="13">
        <f t="shared" si="0"/>
        <v>11600.76999999999</v>
      </c>
      <c r="I9" s="9"/>
      <c r="J9" s="13">
        <f>I9+август!J9</f>
        <v>0</v>
      </c>
      <c r="K9" s="8"/>
      <c r="L9" s="12">
        <f>K9+август!L9</f>
        <v>0</v>
      </c>
    </row>
    <row r="10" spans="1:12">
      <c r="A10" s="1">
        <f t="shared" si="1"/>
        <v>8</v>
      </c>
      <c r="B10" s="28" t="str">
        <f>август!B10</f>
        <v>Канализир.х.воды</v>
      </c>
      <c r="C10" s="8">
        <f>0+0</f>
        <v>0</v>
      </c>
      <c r="D10" s="12">
        <f>C10+август!D10</f>
        <v>0</v>
      </c>
      <c r="E10" s="8">
        <f>0+0</f>
        <v>0</v>
      </c>
      <c r="F10" s="12">
        <f>E10+август!F10</f>
        <v>0</v>
      </c>
      <c r="G10" s="12">
        <f>E10-C10</f>
        <v>0</v>
      </c>
      <c r="H10" s="13">
        <f t="shared" si="0"/>
        <v>0</v>
      </c>
      <c r="I10" s="9"/>
      <c r="J10" s="13">
        <f>I10+август!J10</f>
        <v>0</v>
      </c>
      <c r="K10" s="8"/>
      <c r="L10" s="12">
        <f>K10+август!L10</f>
        <v>0</v>
      </c>
    </row>
    <row r="11" spans="1:12">
      <c r="A11" s="1">
        <f t="shared" si="1"/>
        <v>9</v>
      </c>
      <c r="B11" s="28" t="str">
        <f>август!B11</f>
        <v>Канализир.г.воды</v>
      </c>
      <c r="C11" s="8">
        <f>0+0</f>
        <v>0</v>
      </c>
      <c r="D11" s="12">
        <f>C11+август!D11</f>
        <v>0</v>
      </c>
      <c r="E11" s="8">
        <f>0+0</f>
        <v>0</v>
      </c>
      <c r="F11" s="12">
        <f>E11+август!F11</f>
        <v>0</v>
      </c>
      <c r="G11" s="12">
        <f t="shared" si="0"/>
        <v>0</v>
      </c>
      <c r="H11" s="13">
        <f t="shared" si="0"/>
        <v>0</v>
      </c>
      <c r="I11" s="9"/>
      <c r="J11" s="13">
        <f>I11+август!J11</f>
        <v>0</v>
      </c>
      <c r="K11" s="8"/>
      <c r="L11" s="12">
        <f>K11+август!L11</f>
        <v>0</v>
      </c>
    </row>
    <row r="12" spans="1:12" ht="15" customHeight="1">
      <c r="A12" s="1">
        <f t="shared" si="1"/>
        <v>10</v>
      </c>
      <c r="B12" s="28" t="str">
        <f>август!B12</f>
        <v>Тек.рем.общ.имущ.дома</v>
      </c>
      <c r="C12" s="8">
        <f>14378.98+2531.45</f>
        <v>16910.43</v>
      </c>
      <c r="D12" s="12">
        <f>C12+август!D12</f>
        <v>130246.13999999998</v>
      </c>
      <c r="E12" s="9">
        <f>13721.63+2437.45</f>
        <v>16159.079999999998</v>
      </c>
      <c r="F12" s="12">
        <f>E12+август!F12</f>
        <v>142430.38</v>
      </c>
      <c r="G12" s="12">
        <f t="shared" si="0"/>
        <v>-751.35000000000218</v>
      </c>
      <c r="H12" s="13">
        <f t="shared" si="0"/>
        <v>12184.24000000002</v>
      </c>
      <c r="I12" s="9"/>
      <c r="J12" s="13">
        <f>I12+август!J12</f>
        <v>0</v>
      </c>
      <c r="K12" s="8"/>
      <c r="L12" s="12">
        <f>K12+август!L12</f>
        <v>0</v>
      </c>
    </row>
    <row r="13" spans="1:12" ht="13.5" customHeight="1">
      <c r="A13" s="1">
        <f t="shared" si="1"/>
        <v>11</v>
      </c>
      <c r="B13" s="28" t="str">
        <f>август!B13</f>
        <v>Сод.и тек.рем.в/дом.газосн.</v>
      </c>
      <c r="C13" s="8">
        <f>1574.5+277.18</f>
        <v>1851.68</v>
      </c>
      <c r="D13" s="12">
        <f>C13+август!D13</f>
        <v>14405.54</v>
      </c>
      <c r="E13" s="9">
        <f>1504.03+267.27</f>
        <v>1771.3</v>
      </c>
      <c r="F13" s="12">
        <f>E13+август!F13</f>
        <v>15775.95</v>
      </c>
      <c r="G13" s="12">
        <f t="shared" si="0"/>
        <v>-80.380000000000109</v>
      </c>
      <c r="H13" s="13">
        <f t="shared" si="0"/>
        <v>1370.4099999999999</v>
      </c>
      <c r="I13" s="9"/>
      <c r="J13" s="13">
        <f>I13+август!J13</f>
        <v>0</v>
      </c>
      <c r="K13" s="8"/>
      <c r="L13" s="12">
        <f>K13+август!L13</f>
        <v>0</v>
      </c>
    </row>
    <row r="14" spans="1:12" ht="13.5" customHeight="1">
      <c r="A14" s="1">
        <f t="shared" si="1"/>
        <v>12</v>
      </c>
      <c r="B14" s="28" t="str">
        <f>август!B14</f>
        <v>Управление многокв.дом.</v>
      </c>
      <c r="C14" s="8">
        <f>5950.73+1047.65</f>
        <v>6998.3799999999992</v>
      </c>
      <c r="D14" s="12">
        <f>C14+август!D14</f>
        <v>52174.539999999994</v>
      </c>
      <c r="E14" s="9">
        <f>5640.55+1004.28</f>
        <v>6644.83</v>
      </c>
      <c r="F14" s="12">
        <f>E14+август!F14</f>
        <v>56151.8</v>
      </c>
      <c r="G14" s="12">
        <f t="shared" si="0"/>
        <v>-353.54999999999927</v>
      </c>
      <c r="H14" s="13">
        <f t="shared" si="0"/>
        <v>3977.2600000000093</v>
      </c>
      <c r="I14" s="9"/>
      <c r="J14" s="13">
        <f>I14+август!J14</f>
        <v>0</v>
      </c>
      <c r="K14" s="8"/>
      <c r="L14" s="12">
        <f>K14+август!L14</f>
        <v>0</v>
      </c>
    </row>
    <row r="15" spans="1:12">
      <c r="A15" s="1">
        <f t="shared" si="1"/>
        <v>13</v>
      </c>
      <c r="B15" s="28" t="str">
        <f>август!B15</f>
        <v>Водоотведение(кв)</v>
      </c>
      <c r="C15" s="8">
        <f>12779.03+3457.58</f>
        <v>16236.61</v>
      </c>
      <c r="D15" s="12">
        <f>C15+август!D15</f>
        <v>122172.01000000001</v>
      </c>
      <c r="E15" s="9">
        <f>13188.25+3308.88</f>
        <v>16497.13</v>
      </c>
      <c r="F15" s="12">
        <f>E15+август!F15</f>
        <v>133772.76999999999</v>
      </c>
      <c r="G15" s="12">
        <f t="shared" si="0"/>
        <v>260.52000000000044</v>
      </c>
      <c r="H15" s="13">
        <f t="shared" si="0"/>
        <v>11600.75999999998</v>
      </c>
      <c r="I15" s="9"/>
      <c r="J15" s="13">
        <f>I15+август!J15</f>
        <v>0</v>
      </c>
      <c r="K15" s="8"/>
      <c r="L15" s="12">
        <f>K15+август!L15</f>
        <v>0</v>
      </c>
    </row>
    <row r="16" spans="1:12" ht="15.75" customHeight="1">
      <c r="A16" s="1">
        <f t="shared" si="1"/>
        <v>14</v>
      </c>
      <c r="B16" s="28" t="str">
        <f>август!B16</f>
        <v>Эксплуатация общедом.ПУ</v>
      </c>
      <c r="C16" s="8">
        <f>162.04+28.53</f>
        <v>190.57</v>
      </c>
      <c r="D16" s="12">
        <f>C16+август!D16</f>
        <v>1388.4099999999999</v>
      </c>
      <c r="E16" s="9">
        <f>154.13+27.26</f>
        <v>181.39</v>
      </c>
      <c r="F16" s="12">
        <f>E16+август!F16</f>
        <v>1522.27</v>
      </c>
      <c r="G16" s="12">
        <f t="shared" si="0"/>
        <v>-9.1800000000000068</v>
      </c>
      <c r="H16" s="13">
        <f t="shared" si="0"/>
        <v>133.86000000000013</v>
      </c>
      <c r="I16" s="9"/>
      <c r="J16" s="13">
        <f>I16+август!J16</f>
        <v>0</v>
      </c>
      <c r="K16" s="8"/>
      <c r="L16" s="12">
        <f>K16+август!L16</f>
        <v>0</v>
      </c>
    </row>
    <row r="17" spans="1:12" ht="18" customHeight="1">
      <c r="A17" s="1">
        <f t="shared" si="1"/>
        <v>15</v>
      </c>
      <c r="B17" s="28" t="str">
        <f>август!B17</f>
        <v>Хол.водоснабж.(о/д нужды)</v>
      </c>
      <c r="C17" s="8">
        <f>294+52.08</f>
        <v>346.08</v>
      </c>
      <c r="D17" s="12">
        <f>C17+август!D17</f>
        <v>2034.7199999999998</v>
      </c>
      <c r="E17" s="9">
        <f>273.17+49.04</f>
        <v>322.21000000000004</v>
      </c>
      <c r="F17" s="12">
        <f>E17+август!F17</f>
        <v>2061.1200000000003</v>
      </c>
      <c r="G17" s="12">
        <f t="shared" si="0"/>
        <v>-23.869999999999948</v>
      </c>
      <c r="H17" s="13">
        <f t="shared" si="0"/>
        <v>26.400000000000546</v>
      </c>
      <c r="I17" s="9"/>
      <c r="J17" s="13">
        <f>I17+август!J17</f>
        <v>0</v>
      </c>
      <c r="K17" s="8"/>
      <c r="L17" s="12">
        <f>K17+август!L17</f>
        <v>0</v>
      </c>
    </row>
    <row r="18" spans="1:12" ht="16.5" customHeight="1">
      <c r="A18" s="1">
        <f t="shared" si="1"/>
        <v>16</v>
      </c>
      <c r="B18" s="28" t="str">
        <f>август!B18</f>
        <v>Водоотведение(о/д нужды)</v>
      </c>
      <c r="C18" s="8">
        <f>0+0</f>
        <v>0</v>
      </c>
      <c r="D18" s="12">
        <f>C18+август!D18</f>
        <v>0</v>
      </c>
      <c r="E18" s="8">
        <f>0+0</f>
        <v>0</v>
      </c>
      <c r="F18" s="12">
        <f>E18+август!F18</f>
        <v>0</v>
      </c>
      <c r="G18" s="12">
        <f t="shared" si="0"/>
        <v>0</v>
      </c>
      <c r="H18" s="13">
        <f t="shared" si="0"/>
        <v>0</v>
      </c>
      <c r="I18" s="9"/>
      <c r="J18" s="13">
        <f>I18+август!J18</f>
        <v>0</v>
      </c>
      <c r="K18" s="8"/>
      <c r="L18" s="12">
        <f>K18+август!L18</f>
        <v>0</v>
      </c>
    </row>
    <row r="19" spans="1:12">
      <c r="A19" s="1">
        <f t="shared" si="1"/>
        <v>17</v>
      </c>
      <c r="B19" s="28" t="str">
        <f>август!B19</f>
        <v>Отопление(о/д нужды)</v>
      </c>
      <c r="C19" s="8">
        <f>0+0</f>
        <v>0</v>
      </c>
      <c r="D19" s="12">
        <f>C19+август!D19</f>
        <v>0</v>
      </c>
      <c r="E19" s="8">
        <f>0+0</f>
        <v>0</v>
      </c>
      <c r="F19" s="12">
        <f>E19+август!F19</f>
        <v>0</v>
      </c>
      <c r="G19" s="12">
        <f t="shared" si="0"/>
        <v>0</v>
      </c>
      <c r="H19" s="13">
        <f t="shared" si="0"/>
        <v>0</v>
      </c>
      <c r="I19" s="9"/>
      <c r="J19" s="13">
        <f>I19+август!J19</f>
        <v>0</v>
      </c>
      <c r="K19" s="8"/>
      <c r="L19" s="12">
        <f>K19+август!L19</f>
        <v>0</v>
      </c>
    </row>
    <row r="20" spans="1:12" ht="16.5" customHeight="1">
      <c r="A20" s="1">
        <f t="shared" si="1"/>
        <v>18</v>
      </c>
      <c r="B20" s="28" t="str">
        <f>август!B20</f>
        <v>Электроснабжение(общед.нужды)</v>
      </c>
      <c r="C20" s="8">
        <f>57833.68+14649.84</f>
        <v>72483.520000000004</v>
      </c>
      <c r="D20" s="12">
        <f>C20+август!D20</f>
        <v>555803.45000000007</v>
      </c>
      <c r="E20" s="9">
        <f>89010.24+10061.93</f>
        <v>99072.170000000013</v>
      </c>
      <c r="F20" s="12">
        <f>E20+август!F20</f>
        <v>578167.36</v>
      </c>
      <c r="G20" s="12">
        <f t="shared" si="0"/>
        <v>26588.650000000009</v>
      </c>
      <c r="H20" s="13">
        <f t="shared" si="0"/>
        <v>22363.909999999916</v>
      </c>
      <c r="I20" s="9"/>
      <c r="J20" s="13">
        <f>I20+август!J20</f>
        <v>0</v>
      </c>
      <c r="K20" s="8"/>
      <c r="L20" s="12">
        <f>K20+август!L20</f>
        <v>0</v>
      </c>
    </row>
    <row r="21" spans="1:12" ht="16.5" customHeight="1">
      <c r="A21" s="1">
        <f t="shared" si="1"/>
        <v>19</v>
      </c>
      <c r="B21" s="28" t="str">
        <f>август!B21</f>
        <v>Горячее водоснабж.(о/д нужды)</v>
      </c>
      <c r="C21" s="8">
        <f>0+0</f>
        <v>0</v>
      </c>
      <c r="D21" s="12">
        <f>C21+август!D21</f>
        <v>0</v>
      </c>
      <c r="E21" s="8">
        <f>0+0</f>
        <v>0</v>
      </c>
      <c r="F21" s="12">
        <f>E21+август!F21</f>
        <v>0</v>
      </c>
      <c r="G21" s="12">
        <f t="shared" si="0"/>
        <v>0</v>
      </c>
      <c r="H21" s="13">
        <f t="shared" si="0"/>
        <v>0</v>
      </c>
      <c r="I21" s="9"/>
      <c r="J21" s="13">
        <f>I21+август!J21</f>
        <v>0</v>
      </c>
      <c r="K21" s="8"/>
      <c r="L21" s="12">
        <f>K21+август!L21</f>
        <v>0</v>
      </c>
    </row>
    <row r="22" spans="1:12" ht="15.75" customHeight="1">
      <c r="A22" s="1">
        <f t="shared" si="1"/>
        <v>20</v>
      </c>
      <c r="B22" s="28">
        <f>август!B22</f>
        <v>0</v>
      </c>
      <c r="C22" s="8">
        <f>0+0</f>
        <v>0</v>
      </c>
      <c r="D22" s="12">
        <f>C22+август!D22</f>
        <v>0</v>
      </c>
      <c r="E22" s="8">
        <f>0+0</f>
        <v>0</v>
      </c>
      <c r="F22" s="12">
        <f>E22+август!F22</f>
        <v>0</v>
      </c>
      <c r="G22" s="12">
        <f t="shared" si="0"/>
        <v>0</v>
      </c>
      <c r="H22" s="13">
        <f t="shared" si="0"/>
        <v>0</v>
      </c>
      <c r="I22" s="9"/>
      <c r="J22" s="13">
        <f>I22+август!J22</f>
        <v>0</v>
      </c>
      <c r="K22" s="8"/>
      <c r="L22" s="12">
        <f>K22+август!L22</f>
        <v>0</v>
      </c>
    </row>
    <row r="23" spans="1:12">
      <c r="A23" s="18"/>
      <c r="B23" s="17" t="s">
        <v>12</v>
      </c>
      <c r="C23" s="12">
        <f t="shared" ref="C23:L23" si="2">SUM(C3:C22)</f>
        <v>203639.51</v>
      </c>
      <c r="D23" s="12">
        <f t="shared" si="2"/>
        <v>1994130.31</v>
      </c>
      <c r="E23" s="13">
        <f t="shared" si="2"/>
        <v>234136.65000000002</v>
      </c>
      <c r="F23" s="12">
        <f t="shared" si="2"/>
        <v>2251305.4000000004</v>
      </c>
      <c r="G23" s="12">
        <f t="shared" si="2"/>
        <v>30497.140000000007</v>
      </c>
      <c r="H23" s="13">
        <f t="shared" si="2"/>
        <v>257175.08999999997</v>
      </c>
      <c r="I23" s="13">
        <f t="shared" si="2"/>
        <v>0</v>
      </c>
      <c r="J23" s="13">
        <f t="shared" si="2"/>
        <v>0</v>
      </c>
      <c r="K23" s="12">
        <f t="shared" si="2"/>
        <v>0</v>
      </c>
      <c r="L23" s="12">
        <f t="shared" si="2"/>
        <v>0</v>
      </c>
    </row>
    <row r="25" spans="1:12">
      <c r="B25" s="49" t="s">
        <v>34</v>
      </c>
      <c r="C25" s="9">
        <f t="shared" ref="C25:H25" si="3">C3+C7+C12+C13+C14+C16</f>
        <v>63339.33</v>
      </c>
      <c r="D25" s="9">
        <f t="shared" si="3"/>
        <v>481935.13999999984</v>
      </c>
      <c r="E25" s="9">
        <f t="shared" si="3"/>
        <v>60404.240000000005</v>
      </c>
      <c r="F25" s="9">
        <f t="shared" si="3"/>
        <v>524378.5</v>
      </c>
      <c r="G25" s="9">
        <f t="shared" si="3"/>
        <v>-2935.0900000000024</v>
      </c>
      <c r="H25" s="9">
        <f t="shared" si="3"/>
        <v>42443.360000000088</v>
      </c>
    </row>
    <row r="26" spans="1:12" ht="6.75" customHeight="1"/>
    <row r="27" spans="1:12" hidden="1"/>
    <row r="28" spans="1:12">
      <c r="B28" s="1" t="s">
        <v>35</v>
      </c>
      <c r="C28" s="9">
        <f>C9+C10+C11+C15+C17+C18+C22</f>
        <v>32819.300000000003</v>
      </c>
      <c r="D28" s="9">
        <f t="shared" ref="D28:J28" si="4">D9+D10+D11+D15+D17+D18+D22</f>
        <v>246378.74000000002</v>
      </c>
      <c r="E28" s="9">
        <f t="shared" si="4"/>
        <v>33316.47</v>
      </c>
      <c r="F28" s="9">
        <f t="shared" si="4"/>
        <v>269606.67</v>
      </c>
      <c r="G28" s="9">
        <f t="shared" si="4"/>
        <v>497.17000000000093</v>
      </c>
      <c r="H28" s="9">
        <f t="shared" si="4"/>
        <v>23227.929999999971</v>
      </c>
      <c r="I28" s="9">
        <f t="shared" si="4"/>
        <v>0</v>
      </c>
      <c r="J28" s="9">
        <f t="shared" si="4"/>
        <v>0</v>
      </c>
    </row>
    <row r="29" spans="1:12">
      <c r="B29" s="1" t="s">
        <v>36</v>
      </c>
      <c r="C29" s="9">
        <f>C8+C20</f>
        <v>107480.88</v>
      </c>
      <c r="D29" s="9">
        <f t="shared" ref="D29:J29" si="5">D8+D20</f>
        <v>840043.43</v>
      </c>
      <c r="E29" s="9">
        <f t="shared" si="5"/>
        <v>134866.64000000001</v>
      </c>
      <c r="F29" s="9">
        <f t="shared" si="5"/>
        <v>893531.19</v>
      </c>
      <c r="G29" s="9">
        <f t="shared" si="5"/>
        <v>27385.760000000009</v>
      </c>
      <c r="H29" s="9">
        <f t="shared" si="5"/>
        <v>53487.759999999893</v>
      </c>
      <c r="I29" s="9">
        <f t="shared" si="5"/>
        <v>0</v>
      </c>
      <c r="J29" s="9">
        <f t="shared" si="5"/>
        <v>0</v>
      </c>
    </row>
    <row r="30" spans="1:12">
      <c r="B30" s="1" t="s">
        <v>37</v>
      </c>
      <c r="C30" s="9">
        <f>C4+C5+C21+C19</f>
        <v>0</v>
      </c>
      <c r="D30" s="9">
        <f t="shared" ref="D30:J30" si="6">D4+D5+D21+D19</f>
        <v>425773</v>
      </c>
      <c r="E30" s="9">
        <f t="shared" si="6"/>
        <v>5549.3</v>
      </c>
      <c r="F30" s="9">
        <f t="shared" si="6"/>
        <v>563789.04</v>
      </c>
      <c r="G30" s="9">
        <f t="shared" si="6"/>
        <v>5549.3</v>
      </c>
      <c r="H30" s="9">
        <f t="shared" si="6"/>
        <v>138016.04000000004</v>
      </c>
      <c r="I30" s="9">
        <f t="shared" si="6"/>
        <v>0</v>
      </c>
      <c r="J30" s="9">
        <f t="shared" si="6"/>
        <v>0</v>
      </c>
    </row>
    <row r="34" spans="4:5">
      <c r="D34" s="60">
        <v>165336.04</v>
      </c>
      <c r="E34" s="60">
        <v>200821.86</v>
      </c>
    </row>
    <row r="35" spans="4:5">
      <c r="D35" s="60">
        <v>38303.47</v>
      </c>
      <c r="E35" s="60">
        <v>33314.79</v>
      </c>
    </row>
    <row r="36" spans="4:5">
      <c r="D36" s="61">
        <f>D34+D35</f>
        <v>203639.51</v>
      </c>
      <c r="E36" s="61">
        <f>E34+E35</f>
        <v>234136.65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декабрь17</vt:lpstr>
      <vt:lpstr>Лист14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2017-09-26T15:26:18Z</cp:lastPrinted>
  <dcterms:created xsi:type="dcterms:W3CDTF">1996-10-08T23:32:33Z</dcterms:created>
  <dcterms:modified xsi:type="dcterms:W3CDTF">2018-01-18T14:32:45Z</dcterms:modified>
</cp:coreProperties>
</file>