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tabRatio="705" activeTab="11"/>
  </bookViews>
  <sheets>
    <sheet name="Январь" sheetId="2" r:id="rId1"/>
    <sheet name="февраль" sheetId="3" r:id="rId2"/>
    <sheet name="март" sheetId="4" r:id="rId3"/>
    <sheet name="апрель" sheetId="5" r:id="rId4"/>
    <sheet name="май" sheetId="6" r:id="rId5"/>
    <sheet name="июнь" sheetId="7" r:id="rId6"/>
    <sheet name="июль" sheetId="8" r:id="rId7"/>
    <sheet name="август" sheetId="9" r:id="rId8"/>
    <sheet name="сентябрь" sheetId="11" r:id="rId9"/>
    <sheet name="октябрь" sheetId="10" r:id="rId10"/>
    <sheet name="ноябрь" sheetId="12" r:id="rId11"/>
    <sheet name="декабрь17" sheetId="13" r:id="rId12"/>
    <sheet name="Лист14" sheetId="14" r:id="rId13"/>
  </sheets>
  <calcPr calcId="125725"/>
</workbook>
</file>

<file path=xl/calcChain.xml><?xml version="1.0" encoding="utf-8"?>
<calcChain xmlns="http://schemas.openxmlformats.org/spreadsheetml/2006/main">
  <c r="E22" i="13"/>
  <c r="C22"/>
  <c r="E6"/>
  <c r="C6"/>
  <c r="E18"/>
  <c r="E17"/>
  <c r="C18"/>
  <c r="C17"/>
  <c r="E11"/>
  <c r="E10"/>
  <c r="C11"/>
  <c r="C10"/>
  <c r="E3"/>
  <c r="E7"/>
  <c r="D33"/>
  <c r="C33"/>
  <c r="E15"/>
  <c r="C15"/>
  <c r="E20"/>
  <c r="C20"/>
  <c r="E19"/>
  <c r="C19"/>
  <c r="E21"/>
  <c r="C21"/>
  <c r="E16"/>
  <c r="C16"/>
  <c r="E13"/>
  <c r="C13"/>
  <c r="E12"/>
  <c r="C12"/>
  <c r="E14"/>
  <c r="C14"/>
  <c r="E9"/>
  <c r="C9"/>
  <c r="C7"/>
  <c r="E8"/>
  <c r="C8"/>
  <c r="E5"/>
  <c r="C5"/>
  <c r="E4"/>
  <c r="C4"/>
  <c r="C3"/>
  <c r="E22" i="12"/>
  <c r="C22"/>
  <c r="E18"/>
  <c r="E17"/>
  <c r="C18"/>
  <c r="C17"/>
  <c r="E11"/>
  <c r="E10"/>
  <c r="C11"/>
  <c r="C10"/>
  <c r="E6"/>
  <c r="C6"/>
  <c r="E31"/>
  <c r="D31"/>
  <c r="E15"/>
  <c r="C15"/>
  <c r="E20"/>
  <c r="C20"/>
  <c r="E19"/>
  <c r="C19"/>
  <c r="E21"/>
  <c r="C21"/>
  <c r="E16"/>
  <c r="C16"/>
  <c r="E13"/>
  <c r="C13"/>
  <c r="E12"/>
  <c r="C12"/>
  <c r="E14"/>
  <c r="C14"/>
  <c r="E9"/>
  <c r="C9"/>
  <c r="E7"/>
  <c r="C7"/>
  <c r="E8"/>
  <c r="C8"/>
  <c r="E5"/>
  <c r="C5"/>
  <c r="E4"/>
  <c r="C4"/>
  <c r="E3"/>
  <c r="C3"/>
  <c r="E22" i="10"/>
  <c r="C22"/>
  <c r="E6"/>
  <c r="C6"/>
  <c r="E11"/>
  <c r="E10"/>
  <c r="C11"/>
  <c r="C10"/>
  <c r="E18"/>
  <c r="E17"/>
  <c r="C18"/>
  <c r="C17"/>
  <c r="E19"/>
  <c r="E31"/>
  <c r="D31"/>
  <c r="E15"/>
  <c r="C15"/>
  <c r="E20"/>
  <c r="C20"/>
  <c r="C19"/>
  <c r="E21"/>
  <c r="C21"/>
  <c r="E16"/>
  <c r="C16"/>
  <c r="E13"/>
  <c r="C13"/>
  <c r="E12"/>
  <c r="C12"/>
  <c r="E14"/>
  <c r="C14"/>
  <c r="E9"/>
  <c r="C9"/>
  <c r="E7"/>
  <c r="C7"/>
  <c r="E8"/>
  <c r="C8"/>
  <c r="E5"/>
  <c r="C5"/>
  <c r="E4"/>
  <c r="C4"/>
  <c r="E3"/>
  <c r="C3"/>
  <c r="E22" i="11"/>
  <c r="C22"/>
  <c r="E18"/>
  <c r="E17"/>
  <c r="C18"/>
  <c r="C17"/>
  <c r="E11"/>
  <c r="E10"/>
  <c r="C11"/>
  <c r="C10"/>
  <c r="F34"/>
  <c r="E34"/>
  <c r="E15"/>
  <c r="C15"/>
  <c r="E20"/>
  <c r="C20"/>
  <c r="E19"/>
  <c r="C19"/>
  <c r="E21"/>
  <c r="C21"/>
  <c r="E16"/>
  <c r="C16"/>
  <c r="E13"/>
  <c r="C13"/>
  <c r="E12"/>
  <c r="C12"/>
  <c r="E14"/>
  <c r="C14"/>
  <c r="E6"/>
  <c r="C6"/>
  <c r="E9"/>
  <c r="C9"/>
  <c r="E7"/>
  <c r="C7"/>
  <c r="E8"/>
  <c r="C8"/>
  <c r="E5"/>
  <c r="C5"/>
  <c r="E4"/>
  <c r="C4"/>
  <c r="E3"/>
  <c r="C3"/>
  <c r="H33" i="9"/>
  <c r="G33"/>
  <c r="E22"/>
  <c r="C22"/>
  <c r="E21"/>
  <c r="C21"/>
  <c r="E20"/>
  <c r="C20"/>
  <c r="E19"/>
  <c r="C19"/>
  <c r="E18"/>
  <c r="C18"/>
  <c r="E17"/>
  <c r="C17"/>
  <c r="E16"/>
  <c r="C16"/>
  <c r="E15"/>
  <c r="C15"/>
  <c r="E14"/>
  <c r="C14"/>
  <c r="E13"/>
  <c r="C13"/>
  <c r="E12"/>
  <c r="C12"/>
  <c r="E11"/>
  <c r="E10"/>
  <c r="C11"/>
  <c r="C10"/>
  <c r="E9"/>
  <c r="C9"/>
  <c r="E8"/>
  <c r="C8"/>
  <c r="E7"/>
  <c r="C7"/>
  <c r="E6"/>
  <c r="C6"/>
  <c r="E5"/>
  <c r="C5"/>
  <c r="E4"/>
  <c r="C4"/>
  <c r="E3"/>
  <c r="C3"/>
  <c r="E3" i="8"/>
  <c r="C3"/>
  <c r="F32"/>
  <c r="E32"/>
  <c r="C6" i="6"/>
  <c r="H33"/>
  <c r="I33"/>
  <c r="E21"/>
  <c r="C21"/>
  <c r="E20"/>
  <c r="C20"/>
  <c r="E19"/>
  <c r="C19"/>
  <c r="E18"/>
  <c r="C18"/>
  <c r="E17"/>
  <c r="C17"/>
  <c r="E16"/>
  <c r="C16"/>
  <c r="E15"/>
  <c r="C15"/>
  <c r="E14"/>
  <c r="C14"/>
  <c r="E13"/>
  <c r="C13"/>
  <c r="E12"/>
  <c r="C12"/>
  <c r="E11"/>
  <c r="C11"/>
  <c r="E10"/>
  <c r="C10"/>
  <c r="E9"/>
  <c r="C9"/>
  <c r="E8"/>
  <c r="C8"/>
  <c r="E7"/>
  <c r="C7"/>
  <c r="E6"/>
  <c r="E5"/>
  <c r="C5"/>
  <c r="E4"/>
  <c r="C4"/>
  <c r="E3"/>
  <c r="C3"/>
  <c r="I35" i="7"/>
  <c r="H35"/>
  <c r="E21"/>
  <c r="C21"/>
  <c r="E20"/>
  <c r="C20"/>
  <c r="E19"/>
  <c r="C19"/>
  <c r="E18"/>
  <c r="E17"/>
  <c r="C18"/>
  <c r="C17"/>
  <c r="E16"/>
  <c r="C16"/>
  <c r="E15"/>
  <c r="C15"/>
  <c r="E14"/>
  <c r="C14"/>
  <c r="E13"/>
  <c r="C13"/>
  <c r="E12"/>
  <c r="C12"/>
  <c r="E11"/>
  <c r="C11"/>
  <c r="E10"/>
  <c r="C10"/>
  <c r="E9"/>
  <c r="C9"/>
  <c r="E8"/>
  <c r="C8"/>
  <c r="E7"/>
  <c r="C7"/>
  <c r="E6"/>
  <c r="C6"/>
  <c r="E5"/>
  <c r="C5"/>
  <c r="E4"/>
  <c r="C4"/>
  <c r="E3"/>
  <c r="C3"/>
  <c r="J39" i="2"/>
  <c r="I39"/>
  <c r="H39"/>
  <c r="G39"/>
  <c r="J34" i="5"/>
  <c r="I34"/>
  <c r="E23"/>
  <c r="C23"/>
  <c r="E22"/>
  <c r="C22"/>
  <c r="E21"/>
  <c r="C21"/>
  <c r="C19"/>
  <c r="E19"/>
  <c r="E18"/>
  <c r="C18"/>
  <c r="E17"/>
  <c r="C17"/>
  <c r="E16"/>
  <c r="C16"/>
  <c r="E15"/>
  <c r="C15"/>
  <c r="B14"/>
  <c r="E14"/>
  <c r="C14"/>
  <c r="E13"/>
  <c r="C13"/>
  <c r="E12"/>
  <c r="C12"/>
  <c r="E11"/>
  <c r="C11"/>
  <c r="E9"/>
  <c r="C9"/>
  <c r="E8"/>
  <c r="C8"/>
  <c r="E7"/>
  <c r="C7"/>
  <c r="E6"/>
  <c r="C6"/>
  <c r="E5"/>
  <c r="C5"/>
  <c r="J33" i="4"/>
  <c r="I33"/>
  <c r="E4"/>
  <c r="C4"/>
  <c r="E11"/>
  <c r="E10"/>
  <c r="E21"/>
  <c r="C21"/>
  <c r="E20"/>
  <c r="C20"/>
  <c r="E19"/>
  <c r="C19"/>
  <c r="E16"/>
  <c r="C16"/>
  <c r="E15"/>
  <c r="C15"/>
  <c r="E14"/>
  <c r="C14"/>
  <c r="E13"/>
  <c r="C13"/>
  <c r="E12"/>
  <c r="C12"/>
  <c r="E9"/>
  <c r="C9"/>
  <c r="E8"/>
  <c r="C8"/>
  <c r="E7"/>
  <c r="C7"/>
  <c r="E5"/>
  <c r="C5"/>
  <c r="E3"/>
  <c r="C3"/>
  <c r="E18"/>
  <c r="E6"/>
  <c r="C18"/>
  <c r="C11"/>
  <c r="C10"/>
  <c r="C6"/>
  <c r="E29" i="13"/>
  <c r="C29"/>
  <c r="E26"/>
  <c r="I26"/>
  <c r="C26"/>
  <c r="I26" i="12"/>
  <c r="E26"/>
  <c r="C26"/>
  <c r="I25"/>
  <c r="E25"/>
  <c r="C25"/>
  <c r="I24"/>
  <c r="E24"/>
  <c r="C24"/>
  <c r="E24" i="11"/>
  <c r="I24"/>
  <c r="C24"/>
  <c r="E24" i="9"/>
  <c r="I24"/>
  <c r="C24"/>
  <c r="E24" i="8"/>
  <c r="I24"/>
  <c r="C24"/>
  <c r="E26" i="7"/>
  <c r="I26"/>
  <c r="C26"/>
  <c r="E24" i="6"/>
  <c r="I24"/>
  <c r="C24"/>
  <c r="E26" i="5"/>
  <c r="I26"/>
  <c r="C26"/>
  <c r="E26" i="4"/>
  <c r="I26"/>
  <c r="C26"/>
  <c r="E26" i="3"/>
  <c r="I26"/>
  <c r="C26"/>
  <c r="E26" i="2"/>
  <c r="I26"/>
  <c r="C26"/>
  <c r="E24" i="10"/>
  <c r="I24"/>
  <c r="E25"/>
  <c r="I25"/>
  <c r="C24"/>
  <c r="I26"/>
  <c r="E26"/>
  <c r="C26"/>
  <c r="C25"/>
  <c r="I26" i="11"/>
  <c r="E26"/>
  <c r="C26"/>
  <c r="I25"/>
  <c r="E25"/>
  <c r="C25"/>
  <c r="E29"/>
  <c r="C29"/>
  <c r="I26" i="9"/>
  <c r="E26"/>
  <c r="C26"/>
  <c r="I25"/>
  <c r="E25"/>
  <c r="C25"/>
  <c r="I26" i="8"/>
  <c r="E26"/>
  <c r="C26"/>
  <c r="I25"/>
  <c r="E25"/>
  <c r="C25"/>
  <c r="E28" i="7"/>
  <c r="I28"/>
  <c r="C28"/>
  <c r="E27"/>
  <c r="I27"/>
  <c r="C27"/>
  <c r="I26" i="6"/>
  <c r="E26"/>
  <c r="C26"/>
  <c r="I25"/>
  <c r="E25"/>
  <c r="C25"/>
  <c r="E28" i="5"/>
  <c r="I28"/>
  <c r="C28"/>
  <c r="E27"/>
  <c r="I27"/>
  <c r="C27"/>
  <c r="I28" i="3" l="1"/>
  <c r="E28"/>
  <c r="C28"/>
  <c r="I27"/>
  <c r="E27"/>
  <c r="C27"/>
  <c r="I28" i="4"/>
  <c r="E28"/>
  <c r="C28"/>
  <c r="I27"/>
  <c r="E27"/>
  <c r="C27"/>
  <c r="E28" i="2"/>
  <c r="I28"/>
  <c r="C28"/>
  <c r="E27"/>
  <c r="I27"/>
  <c r="C27"/>
  <c r="C28" i="13"/>
  <c r="C27"/>
  <c r="I28"/>
  <c r="E28"/>
  <c r="I27"/>
  <c r="E27"/>
  <c r="E25" i="7" l="1"/>
  <c r="C25"/>
  <c r="E25" i="4"/>
  <c r="C25"/>
  <c r="G19" i="9"/>
  <c r="G20"/>
  <c r="G21"/>
  <c r="G22"/>
  <c r="B4" i="3"/>
  <c r="B4" i="4"/>
  <c r="B6" i="5"/>
  <c r="B4" i="6"/>
  <c r="B4" i="7"/>
  <c r="B4" i="8"/>
  <c r="B4" i="9"/>
  <c r="B4" i="11"/>
  <c r="B4" i="10"/>
  <c r="B4" i="12"/>
  <c r="B4" i="13"/>
  <c r="B5" i="3"/>
  <c r="B5" i="4"/>
  <c r="B7" i="5"/>
  <c r="B5" i="6"/>
  <c r="B5" i="7"/>
  <c r="B5" i="8"/>
  <c r="B5" i="9"/>
  <c r="B5" i="11"/>
  <c r="B5" i="10"/>
  <c r="B5" i="12"/>
  <c r="B5" i="13"/>
  <c r="B6" i="3"/>
  <c r="B6" i="4"/>
  <c r="B8" i="5"/>
  <c r="B6" i="6"/>
  <c r="B6" i="7"/>
  <c r="B6" i="8"/>
  <c r="B6" i="9"/>
  <c r="B6" i="11"/>
  <c r="B6" i="10"/>
  <c r="B6" i="12"/>
  <c r="B6" i="13"/>
  <c r="B7" i="3"/>
  <c r="B7" i="4"/>
  <c r="B9" i="5"/>
  <c r="B7" i="6"/>
  <c r="B7" i="7"/>
  <c r="B7" i="8"/>
  <c r="B7" i="9"/>
  <c r="B7" i="11"/>
  <c r="B7" i="10"/>
  <c r="B7" i="12"/>
  <c r="B7" i="13"/>
  <c r="B8" i="3"/>
  <c r="B8" i="4"/>
  <c r="B10" i="5"/>
  <c r="B8" i="6"/>
  <c r="B8" i="7"/>
  <c r="B8" i="8"/>
  <c r="B8" i="9"/>
  <c r="B8" i="11"/>
  <c r="B8" i="10"/>
  <c r="B8" i="12"/>
  <c r="B8" i="13"/>
  <c r="B9" i="3"/>
  <c r="B9" i="4"/>
  <c r="B11" i="5"/>
  <c r="B9" i="6"/>
  <c r="B9" i="7"/>
  <c r="B9" i="8"/>
  <c r="B9" i="9"/>
  <c r="B9" i="11"/>
  <c r="B9" i="10"/>
  <c r="B9" i="12"/>
  <c r="B9" i="13"/>
  <c r="B10" i="3"/>
  <c r="B10" i="4"/>
  <c r="B12" i="5"/>
  <c r="B10" i="6"/>
  <c r="B10" i="7"/>
  <c r="B10" i="8"/>
  <c r="B10" i="9"/>
  <c r="B10" i="11"/>
  <c r="B10" i="10"/>
  <c r="B10" i="12"/>
  <c r="B10" i="13"/>
  <c r="B11" i="3"/>
  <c r="B11" i="4"/>
  <c r="B13" i="5"/>
  <c r="B11" i="6"/>
  <c r="B11" i="7"/>
  <c r="B11" i="8"/>
  <c r="B11" i="9"/>
  <c r="B11" i="11"/>
  <c r="B11" i="10"/>
  <c r="B11" i="12"/>
  <c r="B11" i="13"/>
  <c r="B12" i="3"/>
  <c r="B12" i="4"/>
  <c r="B12" i="6"/>
  <c r="B12" i="7"/>
  <c r="B12" i="8"/>
  <c r="B12" i="9"/>
  <c r="B12" i="11"/>
  <c r="B12" i="10"/>
  <c r="B12" i="12"/>
  <c r="B12" i="13"/>
  <c r="B13" i="3"/>
  <c r="B13" i="4"/>
  <c r="B15" i="5"/>
  <c r="B13" i="6"/>
  <c r="B13" i="7"/>
  <c r="B13" i="8"/>
  <c r="B13" i="9"/>
  <c r="B13" i="11"/>
  <c r="B13" i="10"/>
  <c r="B13" i="12"/>
  <c r="B13" i="13"/>
  <c r="B14" i="3"/>
  <c r="B14" i="4"/>
  <c r="B16" i="5"/>
  <c r="B14" i="6"/>
  <c r="B14" i="7"/>
  <c r="B14" i="8"/>
  <c r="B14" i="9"/>
  <c r="B14" i="11"/>
  <c r="B14" i="10"/>
  <c r="B14" i="12"/>
  <c r="B14" i="13"/>
  <c r="B15" i="3"/>
  <c r="B15" i="4"/>
  <c r="B17" i="5"/>
  <c r="B15" i="6"/>
  <c r="B15" i="7"/>
  <c r="B15" i="8"/>
  <c r="B15" i="9"/>
  <c r="B15" i="11"/>
  <c r="B15" i="10"/>
  <c r="B15" i="12"/>
  <c r="B15" i="13"/>
  <c r="B16" i="3"/>
  <c r="B16" i="4"/>
  <c r="B18" i="5"/>
  <c r="B16" i="6"/>
  <c r="B16" i="7"/>
  <c r="B16" i="8"/>
  <c r="B16" i="9"/>
  <c r="B16" i="11"/>
  <c r="B16" i="10"/>
  <c r="B16" i="12"/>
  <c r="B16" i="13"/>
  <c r="B17" i="3"/>
  <c r="B17" i="4"/>
  <c r="B19" i="5"/>
  <c r="B17" i="6"/>
  <c r="B17" i="7"/>
  <c r="B17" i="8"/>
  <c r="B17" i="9"/>
  <c r="B17" i="11"/>
  <c r="B17" i="10"/>
  <c r="B17" i="12"/>
  <c r="B17" i="13"/>
  <c r="B18" i="3"/>
  <c r="B18" i="4"/>
  <c r="B20" i="5"/>
  <c r="B18" i="6"/>
  <c r="B18" i="7"/>
  <c r="B18" i="8"/>
  <c r="B18" i="9"/>
  <c r="B18" i="11"/>
  <c r="B18" i="10"/>
  <c r="B18" i="12"/>
  <c r="B18" i="13"/>
  <c r="B19" i="3"/>
  <c r="B19" i="4"/>
  <c r="B21" i="5"/>
  <c r="B19" i="6"/>
  <c r="B19" i="7"/>
  <c r="B19" i="8"/>
  <c r="B19" i="9"/>
  <c r="B19" i="11"/>
  <c r="B19" i="10"/>
  <c r="B19" i="12"/>
  <c r="B19" i="13"/>
  <c r="B20" i="3"/>
  <c r="B20" i="4"/>
  <c r="B22" i="5"/>
  <c r="B20" i="6"/>
  <c r="B20" i="7"/>
  <c r="B20" i="8"/>
  <c r="B20" i="9"/>
  <c r="B20" i="11"/>
  <c r="B20" i="10"/>
  <c r="B20" i="12"/>
  <c r="B20" i="13"/>
  <c r="B21" i="3"/>
  <c r="B21" i="4"/>
  <c r="B23" i="5"/>
  <c r="B21" i="6"/>
  <c r="B21" i="7"/>
  <c r="B21" i="8"/>
  <c r="B21" i="9"/>
  <c r="B21" i="11"/>
  <c r="B21" i="12"/>
  <c r="B21" i="13"/>
  <c r="B22" i="3"/>
  <c r="B22" i="4"/>
  <c r="B24" i="5"/>
  <c r="B22" i="6"/>
  <c r="B22" i="7"/>
  <c r="B22" i="8"/>
  <c r="B22" i="9"/>
  <c r="B22" i="11"/>
  <c r="B22" i="10"/>
  <c r="B22" i="12"/>
  <c r="B22" i="13"/>
  <c r="B3" i="3"/>
  <c r="B3" i="4"/>
  <c r="B5" i="5"/>
  <c r="B3" i="6"/>
  <c r="B3" i="7"/>
  <c r="B3" i="8"/>
  <c r="B3" i="9"/>
  <c r="B3" i="11"/>
  <c r="B3" i="10"/>
  <c r="B3" i="12"/>
  <c r="B3" i="13"/>
  <c r="L4" i="2"/>
  <c r="L5"/>
  <c r="L6"/>
  <c r="L7"/>
  <c r="L8"/>
  <c r="L9"/>
  <c r="L10"/>
  <c r="L11"/>
  <c r="L12"/>
  <c r="L13"/>
  <c r="L14"/>
  <c r="L15"/>
  <c r="L16"/>
  <c r="L17"/>
  <c r="L18"/>
  <c r="L19"/>
  <c r="L20"/>
  <c r="L21"/>
  <c r="L22"/>
  <c r="L3"/>
  <c r="J4"/>
  <c r="J5"/>
  <c r="J5" i="3"/>
  <c r="J5" i="4"/>
  <c r="J7" i="5"/>
  <c r="J5" i="6"/>
  <c r="J5" i="7"/>
  <c r="J5" i="8"/>
  <c r="J5" i="9"/>
  <c r="J5" i="11"/>
  <c r="J5" i="10"/>
  <c r="J5" i="12"/>
  <c r="J5" i="13"/>
  <c r="J6" i="2"/>
  <c r="J7"/>
  <c r="J7" i="3"/>
  <c r="J7" i="4"/>
  <c r="J9" i="5"/>
  <c r="J7" i="6"/>
  <c r="J7" i="7"/>
  <c r="J7" i="8"/>
  <c r="J7" i="9"/>
  <c r="J7" i="11"/>
  <c r="J7" i="10"/>
  <c r="J7" i="12"/>
  <c r="J7" i="13"/>
  <c r="J8" i="2"/>
  <c r="J9"/>
  <c r="J9" i="3"/>
  <c r="J9" i="4"/>
  <c r="J11" i="5"/>
  <c r="J9" i="6"/>
  <c r="J9" i="7"/>
  <c r="J9" i="8"/>
  <c r="J9" i="9"/>
  <c r="J9" i="11"/>
  <c r="J9" i="10"/>
  <c r="J9" i="12"/>
  <c r="J9" i="13"/>
  <c r="J10" i="2"/>
  <c r="J11"/>
  <c r="J11" i="3"/>
  <c r="J11" i="4"/>
  <c r="J13" i="5"/>
  <c r="J11" i="6"/>
  <c r="J11" i="7"/>
  <c r="J11" i="8"/>
  <c r="J11" i="9"/>
  <c r="J11" i="11"/>
  <c r="J11" i="10"/>
  <c r="J11" i="12"/>
  <c r="J11" i="13"/>
  <c r="J12" i="2"/>
  <c r="J13"/>
  <c r="J13" i="3"/>
  <c r="J13" i="4"/>
  <c r="J15" i="5"/>
  <c r="J13" i="6"/>
  <c r="J13" i="7"/>
  <c r="J13" i="8"/>
  <c r="J13" i="9"/>
  <c r="J13" i="11"/>
  <c r="J13" i="10"/>
  <c r="J13" i="12"/>
  <c r="J13" i="13"/>
  <c r="J14" i="2"/>
  <c r="J15"/>
  <c r="J16"/>
  <c r="J17"/>
  <c r="J18"/>
  <c r="J19"/>
  <c r="J20"/>
  <c r="J21"/>
  <c r="J22"/>
  <c r="J3"/>
  <c r="F4"/>
  <c r="F5"/>
  <c r="F6"/>
  <c r="F7"/>
  <c r="F8"/>
  <c r="F9"/>
  <c r="F10"/>
  <c r="F11"/>
  <c r="F12"/>
  <c r="F13"/>
  <c r="F14"/>
  <c r="F15"/>
  <c r="F16"/>
  <c r="F17"/>
  <c r="F18"/>
  <c r="F19"/>
  <c r="F19" i="3" s="1"/>
  <c r="F20" i="2"/>
  <c r="F20" i="3" s="1"/>
  <c r="F21" i="2"/>
  <c r="F21" i="3" s="1"/>
  <c r="F22" i="2"/>
  <c r="F22" i="3" s="1"/>
  <c r="F3" i="2"/>
  <c r="D4"/>
  <c r="D5"/>
  <c r="D6"/>
  <c r="D7"/>
  <c r="D8"/>
  <c r="D9"/>
  <c r="D10"/>
  <c r="D11"/>
  <c r="D12"/>
  <c r="D13"/>
  <c r="D14"/>
  <c r="D15"/>
  <c r="H15"/>
  <c r="D16"/>
  <c r="D17"/>
  <c r="D18"/>
  <c r="D19"/>
  <c r="D19" i="3" s="1"/>
  <c r="D20" i="2"/>
  <c r="D20" i="3" s="1"/>
  <c r="D20" i="4" s="1"/>
  <c r="D20" i="6" s="1"/>
  <c r="D20" i="7" s="1"/>
  <c r="D20" i="8" s="1"/>
  <c r="D20" i="9" s="1"/>
  <c r="D20" i="11" s="1"/>
  <c r="D20" i="10" s="1"/>
  <c r="D20" i="12" s="1"/>
  <c r="D20" i="13" s="1"/>
  <c r="D21" i="2"/>
  <c r="D21" i="3" s="1"/>
  <c r="D21" i="4" s="1"/>
  <c r="D21" i="6" s="1"/>
  <c r="D21" i="7" s="1"/>
  <c r="D21" i="8" s="1"/>
  <c r="D21" i="9" s="1"/>
  <c r="D21" i="11" s="1"/>
  <c r="D21" i="10" s="1"/>
  <c r="D21" i="12" s="1"/>
  <c r="D21" i="13" s="1"/>
  <c r="D22" i="2"/>
  <c r="D22" i="3" s="1"/>
  <c r="D22" i="4" s="1"/>
  <c r="D22" i="6" s="1"/>
  <c r="D22" i="7" s="1"/>
  <c r="D22" i="8" s="1"/>
  <c r="D22" i="9" s="1"/>
  <c r="D22" i="11" s="1"/>
  <c r="D22" i="10" s="1"/>
  <c r="D22" i="12" s="1"/>
  <c r="D22" i="13" s="1"/>
  <c r="D3" i="2"/>
  <c r="G9" i="13"/>
  <c r="G17" i="12"/>
  <c r="G20"/>
  <c r="G12"/>
  <c r="G11"/>
  <c r="G9"/>
  <c r="G6"/>
  <c r="E23"/>
  <c r="G3"/>
  <c r="K23" i="11"/>
  <c r="I23"/>
  <c r="E23"/>
  <c r="J4" i="3"/>
  <c r="J6"/>
  <c r="J6" i="4"/>
  <c r="J8" i="5"/>
  <c r="J6" i="6"/>
  <c r="J6" i="7"/>
  <c r="J6" i="8"/>
  <c r="J6" i="9"/>
  <c r="J6" i="11"/>
  <c r="J6" i="10"/>
  <c r="J6" i="12"/>
  <c r="J6" i="13"/>
  <c r="J8" i="3"/>
  <c r="J8" i="4"/>
  <c r="J10" i="5"/>
  <c r="J8" i="6"/>
  <c r="J8" i="7"/>
  <c r="J8" i="8"/>
  <c r="J8" i="9"/>
  <c r="J8" i="11"/>
  <c r="J8" i="10"/>
  <c r="J8" i="12"/>
  <c r="J8" i="13"/>
  <c r="J10" i="3"/>
  <c r="J10" i="4"/>
  <c r="J12" i="5"/>
  <c r="J10" i="6"/>
  <c r="J10" i="7"/>
  <c r="J10" i="8"/>
  <c r="J10" i="9"/>
  <c r="J10" i="11"/>
  <c r="J10" i="10"/>
  <c r="J10" i="12"/>
  <c r="J10" i="13"/>
  <c r="J12" i="3"/>
  <c r="J12" i="4"/>
  <c r="J14" i="5"/>
  <c r="J12" i="6"/>
  <c r="J12" i="7"/>
  <c r="J12" i="8"/>
  <c r="J12" i="9"/>
  <c r="J12" i="11"/>
  <c r="J12" i="10"/>
  <c r="J12" i="12"/>
  <c r="J12" i="13"/>
  <c r="J14" i="3"/>
  <c r="J14" i="4"/>
  <c r="J16" i="5"/>
  <c r="J14" i="6"/>
  <c r="J14" i="7"/>
  <c r="J14" i="8"/>
  <c r="J14" i="9"/>
  <c r="J14" i="11"/>
  <c r="J14" i="10"/>
  <c r="J14" i="12"/>
  <c r="J14" i="13"/>
  <c r="J3" i="3"/>
  <c r="J3" i="4"/>
  <c r="F4" i="3"/>
  <c r="F5"/>
  <c r="F5" i="4"/>
  <c r="F7" i="5"/>
  <c r="F5" i="6"/>
  <c r="F5" i="7"/>
  <c r="F5" i="8"/>
  <c r="F5" i="9"/>
  <c r="F5" i="11" s="1"/>
  <c r="F6" i="3"/>
  <c r="F6" i="4"/>
  <c r="F8" i="5"/>
  <c r="F6" i="6"/>
  <c r="F6" i="7"/>
  <c r="F6" i="8"/>
  <c r="F6" i="9"/>
  <c r="F6" i="11" s="1"/>
  <c r="F7" i="3"/>
  <c r="F7" i="4"/>
  <c r="F9" i="5"/>
  <c r="F7" i="6"/>
  <c r="F7" i="7"/>
  <c r="F7" i="8"/>
  <c r="F7" i="9"/>
  <c r="F7" i="11" s="1"/>
  <c r="F8" i="3"/>
  <c r="F27" s="1"/>
  <c r="F8" i="4"/>
  <c r="F10" i="5"/>
  <c r="F8" i="6"/>
  <c r="F8" i="7"/>
  <c r="F8" i="8"/>
  <c r="F8" i="9"/>
  <c r="F8" i="11" s="1"/>
  <c r="F9" i="3"/>
  <c r="F9" i="4"/>
  <c r="F11" i="5"/>
  <c r="F10" i="3"/>
  <c r="F10" i="4"/>
  <c r="F12" i="5"/>
  <c r="F10" i="6"/>
  <c r="F10" i="7"/>
  <c r="F10" i="8"/>
  <c r="F10" i="9"/>
  <c r="F10" i="11" s="1"/>
  <c r="F11" i="3"/>
  <c r="F11" i="4"/>
  <c r="F13" i="5"/>
  <c r="F11" i="6"/>
  <c r="F11" i="7"/>
  <c r="F11" i="8"/>
  <c r="F11" i="9"/>
  <c r="F11" i="11" s="1"/>
  <c r="F12" i="3"/>
  <c r="F12" i="4"/>
  <c r="F14" i="5"/>
  <c r="F12" i="6"/>
  <c r="F12" i="7"/>
  <c r="F12" i="8"/>
  <c r="F12" i="9"/>
  <c r="F12" i="11" s="1"/>
  <c r="F13" i="3"/>
  <c r="F13" i="4"/>
  <c r="F15" i="5"/>
  <c r="F13" i="6"/>
  <c r="F13" i="7"/>
  <c r="F13" i="8"/>
  <c r="F13" i="9"/>
  <c r="F13" i="11" s="1"/>
  <c r="F14" i="3"/>
  <c r="F15"/>
  <c r="F15" i="4"/>
  <c r="F17" i="5"/>
  <c r="F15" i="6"/>
  <c r="F15" i="7"/>
  <c r="F15" i="8"/>
  <c r="F15" i="9"/>
  <c r="F15" i="11" s="1"/>
  <c r="F16" i="3"/>
  <c r="F16" i="4"/>
  <c r="F18" i="5"/>
  <c r="F16" i="6"/>
  <c r="F16" i="7"/>
  <c r="F16" i="8"/>
  <c r="F16" i="9"/>
  <c r="F16" i="11" s="1"/>
  <c r="F17" i="3"/>
  <c r="F17" i="4"/>
  <c r="F19" i="5"/>
  <c r="F17" i="6"/>
  <c r="F17" i="7"/>
  <c r="F17" i="8"/>
  <c r="F17" i="9"/>
  <c r="F17" i="11" s="1"/>
  <c r="F18" i="3"/>
  <c r="F3"/>
  <c r="D4"/>
  <c r="D4" i="4"/>
  <c r="D5" i="3"/>
  <c r="D6"/>
  <c r="D7"/>
  <c r="D8"/>
  <c r="D27" s="1"/>
  <c r="D8" i="4"/>
  <c r="D9" i="3"/>
  <c r="D9" i="4"/>
  <c r="D9" i="6"/>
  <c r="D9" i="7"/>
  <c r="D9" i="8"/>
  <c r="D9" i="9"/>
  <c r="D9" i="11" s="1"/>
  <c r="D10" i="3"/>
  <c r="D11"/>
  <c r="D12"/>
  <c r="D13"/>
  <c r="D14"/>
  <c r="D14" i="4"/>
  <c r="D15" i="3"/>
  <c r="D16"/>
  <c r="D16" i="4"/>
  <c r="D17" i="3"/>
  <c r="D18"/>
  <c r="D18" i="4"/>
  <c r="D3" i="3"/>
  <c r="L3"/>
  <c r="L3" i="4"/>
  <c r="L5" i="5"/>
  <c r="L3" i="6"/>
  <c r="E23"/>
  <c r="C23"/>
  <c r="J15" i="3"/>
  <c r="J15" i="4"/>
  <c r="J17" i="5"/>
  <c r="J15" i="6"/>
  <c r="J15" i="7"/>
  <c r="J15" i="8"/>
  <c r="J15" i="9"/>
  <c r="J15" i="11"/>
  <c r="J15" i="10"/>
  <c r="J15" i="12"/>
  <c r="J15" i="13"/>
  <c r="J16" i="3"/>
  <c r="J16" i="4"/>
  <c r="J18" i="5"/>
  <c r="J16" i="6"/>
  <c r="J16" i="7"/>
  <c r="J16" i="8"/>
  <c r="J16" i="9"/>
  <c r="J16" i="11"/>
  <c r="J16" i="10"/>
  <c r="J16" i="12"/>
  <c r="J16" i="13"/>
  <c r="J17" i="3"/>
  <c r="J17" i="4"/>
  <c r="J19" i="5"/>
  <c r="J17" i="6"/>
  <c r="J17" i="7"/>
  <c r="J17" i="8"/>
  <c r="J17" i="9"/>
  <c r="J17" i="11"/>
  <c r="J17" i="10"/>
  <c r="J17" i="12"/>
  <c r="J17" i="13"/>
  <c r="J18" i="3"/>
  <c r="J18" i="4"/>
  <c r="J20" i="5"/>
  <c r="J18" i="6"/>
  <c r="J18" i="7"/>
  <c r="J18" i="8"/>
  <c r="J18" i="9"/>
  <c r="J18" i="11"/>
  <c r="J18" i="10"/>
  <c r="J18" i="12"/>
  <c r="J18" i="13"/>
  <c r="J19" i="3"/>
  <c r="J19" i="4"/>
  <c r="J21" i="5"/>
  <c r="J19" i="6"/>
  <c r="J19" i="7"/>
  <c r="J19" i="8"/>
  <c r="J19" i="9"/>
  <c r="J19" i="11"/>
  <c r="J19" i="10"/>
  <c r="J19" i="12"/>
  <c r="J19" i="13"/>
  <c r="J20" i="3"/>
  <c r="J20" i="4"/>
  <c r="J22" i="5"/>
  <c r="J20" i="6"/>
  <c r="J20" i="7"/>
  <c r="J20" i="8"/>
  <c r="J20" i="9"/>
  <c r="J20" i="11"/>
  <c r="J20" i="10"/>
  <c r="J20" i="12"/>
  <c r="J20" i="13"/>
  <c r="J21" i="3"/>
  <c r="J21" i="4"/>
  <c r="J23" i="5"/>
  <c r="J21" i="6"/>
  <c r="J21" i="7"/>
  <c r="J21" i="8"/>
  <c r="J21" i="9"/>
  <c r="J21" i="11"/>
  <c r="J21" i="10"/>
  <c r="J21" i="12"/>
  <c r="J21" i="13"/>
  <c r="J22" i="3"/>
  <c r="J22" i="4"/>
  <c r="J24" i="5"/>
  <c r="J22" i="6"/>
  <c r="J22" i="7"/>
  <c r="J22" i="8"/>
  <c r="J22" i="9"/>
  <c r="J22" i="11"/>
  <c r="J22" i="10"/>
  <c r="J22" i="12"/>
  <c r="J22" i="13"/>
  <c r="K23"/>
  <c r="I23"/>
  <c r="G3"/>
  <c r="G4"/>
  <c r="G5"/>
  <c r="G6"/>
  <c r="G7"/>
  <c r="G8"/>
  <c r="G10"/>
  <c r="G11"/>
  <c r="G12"/>
  <c r="G13"/>
  <c r="G14"/>
  <c r="G15"/>
  <c r="G16"/>
  <c r="G17"/>
  <c r="G18"/>
  <c r="G19"/>
  <c r="G20"/>
  <c r="G21"/>
  <c r="G22"/>
  <c r="E23"/>
  <c r="E33" s="1"/>
  <c r="C2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K23" i="12"/>
  <c r="I23"/>
  <c r="G4"/>
  <c r="G7"/>
  <c r="G8"/>
  <c r="G10"/>
  <c r="G13"/>
  <c r="G14"/>
  <c r="G15"/>
  <c r="G16"/>
  <c r="G18"/>
  <c r="G19"/>
  <c r="G21"/>
  <c r="G22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K23" i="10"/>
  <c r="I23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E23"/>
  <c r="C2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G3" i="1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C2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K23" i="9"/>
  <c r="I23"/>
  <c r="G3"/>
  <c r="G4"/>
  <c r="G5"/>
  <c r="G6"/>
  <c r="G7"/>
  <c r="G8"/>
  <c r="G25" s="1"/>
  <c r="G9"/>
  <c r="G10"/>
  <c r="G11"/>
  <c r="G12"/>
  <c r="G13"/>
  <c r="G14"/>
  <c r="G15"/>
  <c r="G16"/>
  <c r="G17"/>
  <c r="G18"/>
  <c r="G23"/>
  <c r="E23"/>
  <c r="C2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K23" i="8"/>
  <c r="I23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E23"/>
  <c r="C2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K23" i="7"/>
  <c r="I23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E23"/>
  <c r="C2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K23" i="6"/>
  <c r="I23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K25" i="5"/>
  <c r="I25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E25"/>
  <c r="C2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K23" i="4"/>
  <c r="I23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E23"/>
  <c r="C2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K23" i="3"/>
  <c r="I23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E23"/>
  <c r="C2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G4" i="2"/>
  <c r="G5"/>
  <c r="G6"/>
  <c r="H6"/>
  <c r="G7"/>
  <c r="H7"/>
  <c r="G8"/>
  <c r="H8"/>
  <c r="G9"/>
  <c r="G10"/>
  <c r="G11"/>
  <c r="G12"/>
  <c r="G13"/>
  <c r="H13"/>
  <c r="G14"/>
  <c r="G15"/>
  <c r="G16"/>
  <c r="H16"/>
  <c r="G17"/>
  <c r="G18"/>
  <c r="G19"/>
  <c r="G20"/>
  <c r="G21"/>
  <c r="G22"/>
  <c r="L7" i="3"/>
  <c r="L7" i="4"/>
  <c r="L9" i="5"/>
  <c r="L7" i="6"/>
  <c r="L7" i="7"/>
  <c r="L7" i="8"/>
  <c r="L7" i="9"/>
  <c r="L7" i="11"/>
  <c r="L7" i="10"/>
  <c r="L7" i="12"/>
  <c r="L7" i="13"/>
  <c r="L11" i="3"/>
  <c r="L11" i="4"/>
  <c r="L13" i="5"/>
  <c r="L11" i="6"/>
  <c r="L11" i="7"/>
  <c r="L11" i="8"/>
  <c r="L11" i="9"/>
  <c r="L11" i="11"/>
  <c r="L11" i="10"/>
  <c r="L11" i="12"/>
  <c r="L11" i="13"/>
  <c r="L17" i="3"/>
  <c r="L17" i="4"/>
  <c r="L19" i="5"/>
  <c r="L17" i="6"/>
  <c r="L17" i="7"/>
  <c r="L17" i="8"/>
  <c r="L17" i="9"/>
  <c r="L17" i="11"/>
  <c r="L17" i="10"/>
  <c r="L17" i="12"/>
  <c r="L17" i="13"/>
  <c r="H20" i="2"/>
  <c r="K24" i="14"/>
  <c r="J4"/>
  <c r="J24"/>
  <c r="I24"/>
  <c r="F4"/>
  <c r="D4"/>
  <c r="D24"/>
  <c r="E4"/>
  <c r="E24"/>
  <c r="C4"/>
  <c r="F2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K23" i="2"/>
  <c r="I23"/>
  <c r="G3"/>
  <c r="F23"/>
  <c r="E23"/>
  <c r="C2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C23" i="12"/>
  <c r="G5"/>
  <c r="G23"/>
  <c r="L22" i="3"/>
  <c r="L22" i="4"/>
  <c r="L24" i="5"/>
  <c r="L22" i="6"/>
  <c r="L22" i="7"/>
  <c r="L22" i="8"/>
  <c r="L22" i="9"/>
  <c r="L22" i="11"/>
  <c r="L22" i="10"/>
  <c r="L22" i="12"/>
  <c r="L22" i="13"/>
  <c r="L18" i="3"/>
  <c r="L18" i="4"/>
  <c r="L20" i="5"/>
  <c r="L18" i="6"/>
  <c r="L18" i="7"/>
  <c r="L18" i="8"/>
  <c r="L18" i="9"/>
  <c r="L18" i="11"/>
  <c r="L18" i="10"/>
  <c r="L18" i="12"/>
  <c r="L18" i="13"/>
  <c r="L16" i="3"/>
  <c r="L16" i="4"/>
  <c r="L18" i="5"/>
  <c r="L16" i="6"/>
  <c r="L16" i="7"/>
  <c r="L16" i="8"/>
  <c r="L16" i="9"/>
  <c r="L16" i="11"/>
  <c r="L16" i="10"/>
  <c r="L16" i="12"/>
  <c r="L16" i="13"/>
  <c r="L14" i="3"/>
  <c r="L14" i="4"/>
  <c r="L16" i="5"/>
  <c r="L14" i="6"/>
  <c r="L14" i="7"/>
  <c r="L14" i="8"/>
  <c r="L14" i="9"/>
  <c r="L14" i="11"/>
  <c r="L14" i="10"/>
  <c r="L14" i="12"/>
  <c r="L14" i="13"/>
  <c r="L12" i="3"/>
  <c r="L12" i="4"/>
  <c r="L14" i="5"/>
  <c r="L12" i="6"/>
  <c r="L12" i="7"/>
  <c r="L12" i="8"/>
  <c r="L12" i="9"/>
  <c r="L12" i="11"/>
  <c r="L12" i="10"/>
  <c r="L12" i="12"/>
  <c r="L12" i="13"/>
  <c r="L10" i="3"/>
  <c r="L10" i="4"/>
  <c r="L12" i="5"/>
  <c r="L10" i="6"/>
  <c r="L10" i="7"/>
  <c r="L10" i="8"/>
  <c r="L10" i="9"/>
  <c r="L10" i="11"/>
  <c r="L10" i="10"/>
  <c r="L10" i="12"/>
  <c r="L10" i="13"/>
  <c r="L6" i="3"/>
  <c r="L6" i="4"/>
  <c r="L8" i="5"/>
  <c r="L6" i="6"/>
  <c r="L6" i="7"/>
  <c r="L6" i="8"/>
  <c r="L6" i="9"/>
  <c r="L6" i="11"/>
  <c r="L6" i="10"/>
  <c r="L6" i="12"/>
  <c r="L6" i="13"/>
  <c r="L21" i="3"/>
  <c r="L21" i="4"/>
  <c r="L23" i="5"/>
  <c r="L21" i="6"/>
  <c r="L21" i="7"/>
  <c r="L21" i="8"/>
  <c r="L21" i="9"/>
  <c r="L21" i="11"/>
  <c r="L21" i="10"/>
  <c r="L21" i="12"/>
  <c r="L21" i="13"/>
  <c r="L19" i="3"/>
  <c r="L19" i="4"/>
  <c r="L21" i="5"/>
  <c r="L19" i="6"/>
  <c r="L19" i="7"/>
  <c r="L19" i="8"/>
  <c r="L19" i="9"/>
  <c r="L19" i="11"/>
  <c r="L19" i="10"/>
  <c r="L19" i="12"/>
  <c r="L19" i="13"/>
  <c r="L15" i="3"/>
  <c r="L15" i="4"/>
  <c r="L17" i="5"/>
  <c r="L15" i="6"/>
  <c r="L15" i="7"/>
  <c r="L15" i="8"/>
  <c r="L15" i="9"/>
  <c r="L15" i="11"/>
  <c r="L15" i="10"/>
  <c r="L15" i="12"/>
  <c r="L15" i="13"/>
  <c r="L13" i="3"/>
  <c r="L13" i="4"/>
  <c r="L15" i="5"/>
  <c r="L13" i="6"/>
  <c r="L13" i="7"/>
  <c r="L13" i="8"/>
  <c r="L13" i="9"/>
  <c r="L13" i="11"/>
  <c r="L13" i="10"/>
  <c r="L13" i="12"/>
  <c r="L13" i="13"/>
  <c r="L9" i="3"/>
  <c r="L9" i="4"/>
  <c r="L11" i="5"/>
  <c r="L9" i="6"/>
  <c r="L9" i="7"/>
  <c r="L9" i="8"/>
  <c r="L9" i="9"/>
  <c r="L9" i="11"/>
  <c r="L9" i="10"/>
  <c r="L9" i="12"/>
  <c r="L9" i="13"/>
  <c r="L5" i="3"/>
  <c r="L5" i="4"/>
  <c r="L4" i="14"/>
  <c r="L24"/>
  <c r="G23" i="10"/>
  <c r="H22" i="2"/>
  <c r="L20" i="3"/>
  <c r="L20" i="4"/>
  <c r="L22" i="5"/>
  <c r="L20" i="6"/>
  <c r="L20" i="7"/>
  <c r="L20" i="8"/>
  <c r="L20" i="9"/>
  <c r="L20" i="11"/>
  <c r="L20" i="10"/>
  <c r="L20" i="12"/>
  <c r="L20" i="13"/>
  <c r="L8" i="3"/>
  <c r="L8" i="4"/>
  <c r="L10" i="5"/>
  <c r="L8" i="6"/>
  <c r="L8" i="7"/>
  <c r="L8" i="8"/>
  <c r="L8" i="9"/>
  <c r="L8" i="11"/>
  <c r="L8" i="10"/>
  <c r="L8" i="12"/>
  <c r="L8" i="13"/>
  <c r="H9" i="3"/>
  <c r="L4"/>
  <c r="G23" i="13"/>
  <c r="C24" i="14"/>
  <c r="H18" i="2"/>
  <c r="H14"/>
  <c r="H9"/>
  <c r="H5"/>
  <c r="H21"/>
  <c r="G23" i="3"/>
  <c r="G23" i="7"/>
  <c r="G23" i="6"/>
  <c r="D23" i="2"/>
  <c r="J23"/>
  <c r="G23"/>
  <c r="H4" i="14"/>
  <c r="H24"/>
  <c r="H19" i="2"/>
  <c r="H4"/>
  <c r="H28" s="1"/>
  <c r="D12" i="4"/>
  <c r="H12"/>
  <c r="H12" i="3"/>
  <c r="F4" i="4"/>
  <c r="F6" i="5"/>
  <c r="F4" i="6"/>
  <c r="F4" i="7"/>
  <c r="F4" i="8"/>
  <c r="F4" i="9"/>
  <c r="F4" i="11" s="1"/>
  <c r="H4" i="3"/>
  <c r="L23"/>
  <c r="L23" i="2"/>
  <c r="G4" i="14"/>
  <c r="G24"/>
  <c r="H12" i="2"/>
  <c r="H11"/>
  <c r="H10"/>
  <c r="G23" i="11"/>
  <c r="G23" i="8"/>
  <c r="G23" i="4"/>
  <c r="L4"/>
  <c r="L6" i="5"/>
  <c r="H16" i="3"/>
  <c r="L4" i="6"/>
  <c r="L4" i="7"/>
  <c r="L4" i="8"/>
  <c r="L4" i="9"/>
  <c r="L4" i="11"/>
  <c r="L4" i="10"/>
  <c r="L4" i="12"/>
  <c r="L4" i="13"/>
  <c r="L7" i="5"/>
  <c r="L5" i="6"/>
  <c r="L5" i="7"/>
  <c r="L5" i="8"/>
  <c r="L5" i="9"/>
  <c r="L5" i="11"/>
  <c r="L5" i="10"/>
  <c r="L5" i="12"/>
  <c r="L5" i="13"/>
  <c r="L23" i="4"/>
  <c r="L3" i="7"/>
  <c r="M11" i="13"/>
  <c r="M10"/>
  <c r="J23" i="3"/>
  <c r="J4" i="4"/>
  <c r="J28" s="1"/>
  <c r="J6" i="5"/>
  <c r="J28" s="1"/>
  <c r="J4" i="6"/>
  <c r="J26" s="1"/>
  <c r="J4" i="7"/>
  <c r="J28" s="1"/>
  <c r="J4" i="8"/>
  <c r="J26" s="1"/>
  <c r="J4" i="9"/>
  <c r="J26" s="1"/>
  <c r="J4" i="11"/>
  <c r="J26" s="1"/>
  <c r="J4" i="10"/>
  <c r="J26" s="1"/>
  <c r="J4" i="12"/>
  <c r="J26" s="1"/>
  <c r="J4" i="13"/>
  <c r="J5" i="5"/>
  <c r="J23" i="4"/>
  <c r="F18"/>
  <c r="F20" i="5"/>
  <c r="F18" i="6"/>
  <c r="F18" i="7"/>
  <c r="F18" i="8"/>
  <c r="F18" i="9"/>
  <c r="F18" i="11" s="1"/>
  <c r="H18" i="3"/>
  <c r="F3" i="4"/>
  <c r="F14"/>
  <c r="F16" i="5"/>
  <c r="F14" i="6"/>
  <c r="F14" i="7"/>
  <c r="F14" i="8"/>
  <c r="F14" i="9"/>
  <c r="F14" i="11" s="1"/>
  <c r="H14" i="3"/>
  <c r="F9" i="6"/>
  <c r="H11" i="5"/>
  <c r="H3" i="2"/>
  <c r="H17"/>
  <c r="H8" i="3"/>
  <c r="H9" i="4"/>
  <c r="D3"/>
  <c r="H3" i="3"/>
  <c r="H18" i="4"/>
  <c r="H15" i="3"/>
  <c r="D15" i="4"/>
  <c r="H14"/>
  <c r="D10"/>
  <c r="H10" i="3"/>
  <c r="H7"/>
  <c r="D7" i="4"/>
  <c r="D6"/>
  <c r="H6" i="3"/>
  <c r="H5"/>
  <c r="D5" i="4"/>
  <c r="H4"/>
  <c r="H17" i="3"/>
  <c r="D17" i="4"/>
  <c r="H16"/>
  <c r="H13" i="3"/>
  <c r="D13" i="4"/>
  <c r="H8"/>
  <c r="H11" i="3"/>
  <c r="D11" i="4"/>
  <c r="M4" i="13"/>
  <c r="L3" i="8"/>
  <c r="L23" i="7"/>
  <c r="L23" i="6"/>
  <c r="L25" i="5"/>
  <c r="J3" i="6"/>
  <c r="J25" i="5"/>
  <c r="F9" i="7"/>
  <c r="H9" i="6"/>
  <c r="F5" i="5"/>
  <c r="H23" i="2"/>
  <c r="D8" i="6"/>
  <c r="H10" i="5"/>
  <c r="H14"/>
  <c r="D12" i="6"/>
  <c r="H18" i="5"/>
  <c r="D16" i="6"/>
  <c r="H6" i="4"/>
  <c r="H10"/>
  <c r="H16" i="5"/>
  <c r="D14" i="6"/>
  <c r="H20" i="5"/>
  <c r="D18" i="6"/>
  <c r="H11" i="4"/>
  <c r="H13"/>
  <c r="H17"/>
  <c r="D4" i="6"/>
  <c r="H6" i="5"/>
  <c r="H5" i="4"/>
  <c r="H7"/>
  <c r="H15"/>
  <c r="H3"/>
  <c r="H25" s="1"/>
  <c r="L23" i="8"/>
  <c r="L3" i="9"/>
  <c r="J3" i="7"/>
  <c r="J23" i="6"/>
  <c r="F3"/>
  <c r="F3" i="7"/>
  <c r="F25" s="1"/>
  <c r="F9" i="8"/>
  <c r="H9" i="7"/>
  <c r="H17" i="5"/>
  <c r="D15" i="6"/>
  <c r="D7"/>
  <c r="H9" i="5"/>
  <c r="D13" i="6"/>
  <c r="H15" i="5"/>
  <c r="D18" i="7"/>
  <c r="H18" i="6"/>
  <c r="D14" i="7"/>
  <c r="H14" i="6"/>
  <c r="D16" i="7"/>
  <c r="H16" i="6"/>
  <c r="D12" i="7"/>
  <c r="H12" i="6"/>
  <c r="D3"/>
  <c r="H5" i="5"/>
  <c r="H7"/>
  <c r="D5" i="6"/>
  <c r="D4" i="7"/>
  <c r="H4" i="6"/>
  <c r="H19" i="5"/>
  <c r="D17" i="6"/>
  <c r="H13" i="5"/>
  <c r="D11" i="6"/>
  <c r="H12" i="5"/>
  <c r="D10" i="6"/>
  <c r="D6"/>
  <c r="H8" i="5"/>
  <c r="D8" i="7"/>
  <c r="H8" i="6"/>
  <c r="L3" i="11"/>
  <c r="L23" i="9"/>
  <c r="J3" i="8"/>
  <c r="J23" i="7"/>
  <c r="F9" i="9"/>
  <c r="H9" i="8"/>
  <c r="F3"/>
  <c r="D10" i="7"/>
  <c r="H10" i="6"/>
  <c r="D11" i="7"/>
  <c r="H11" i="6"/>
  <c r="D17" i="7"/>
  <c r="H17" i="6"/>
  <c r="D5" i="7"/>
  <c r="H5" i="6"/>
  <c r="D3" i="7"/>
  <c r="H3" i="6"/>
  <c r="H12" i="7"/>
  <c r="D12" i="8"/>
  <c r="H16" i="7"/>
  <c r="D16" i="8"/>
  <c r="D14"/>
  <c r="H14" i="7"/>
  <c r="D18" i="8"/>
  <c r="H18" i="7"/>
  <c r="H13" i="6"/>
  <c r="D13" i="7"/>
  <c r="H7" i="6"/>
  <c r="D7" i="7"/>
  <c r="D8" i="8"/>
  <c r="H8" i="7"/>
  <c r="D6"/>
  <c r="H6" i="6"/>
  <c r="H4" i="7"/>
  <c r="D4" i="8"/>
  <c r="D15" i="7"/>
  <c r="H15" i="6"/>
  <c r="L3" i="10"/>
  <c r="L23" i="11"/>
  <c r="J3" i="9"/>
  <c r="J23" i="8"/>
  <c r="F3" i="9"/>
  <c r="F9" i="11"/>
  <c r="H9" i="9"/>
  <c r="D4"/>
  <c r="H4" i="8"/>
  <c r="D7"/>
  <c r="H7" i="7"/>
  <c r="D13" i="8"/>
  <c r="H13" i="7"/>
  <c r="D16" i="9"/>
  <c r="H16" i="8"/>
  <c r="D12" i="9"/>
  <c r="H12" i="8"/>
  <c r="H15" i="7"/>
  <c r="D15" i="8"/>
  <c r="D6"/>
  <c r="H6" i="7"/>
  <c r="H8" i="8"/>
  <c r="D8" i="9"/>
  <c r="H8" s="1"/>
  <c r="D18"/>
  <c r="H18" i="8"/>
  <c r="D14" i="9"/>
  <c r="H14" i="8"/>
  <c r="D3"/>
  <c r="H3" i="7"/>
  <c r="H25" s="1"/>
  <c r="H5"/>
  <c r="D5" i="8"/>
  <c r="H17" i="7"/>
  <c r="D17" i="8"/>
  <c r="H11" i="7"/>
  <c r="D11" i="8"/>
  <c r="D10"/>
  <c r="H10" i="7"/>
  <c r="L23" i="10"/>
  <c r="L3" i="12"/>
  <c r="J3" i="11"/>
  <c r="J23" i="9"/>
  <c r="F3" i="11"/>
  <c r="F9" i="10"/>
  <c r="F9" i="12" s="1"/>
  <c r="F9" i="13" s="1"/>
  <c r="H10" i="8"/>
  <c r="D10" i="9"/>
  <c r="D8" i="11"/>
  <c r="D15" i="9"/>
  <c r="H15" s="1"/>
  <c r="H15" i="8"/>
  <c r="D11" i="9"/>
  <c r="D11" i="11" s="1"/>
  <c r="D11" i="10" s="1"/>
  <c r="D11" i="12" s="1"/>
  <c r="D11" i="13" s="1"/>
  <c r="H11" i="8"/>
  <c r="H17"/>
  <c r="D17" i="9"/>
  <c r="H5" i="8"/>
  <c r="D5" i="9"/>
  <c r="D3"/>
  <c r="H3" s="1"/>
  <c r="H3" i="8"/>
  <c r="D14" i="11"/>
  <c r="H14" i="9"/>
  <c r="D18" i="11"/>
  <c r="H18" i="9"/>
  <c r="D6"/>
  <c r="H6" i="8"/>
  <c r="D12" i="11"/>
  <c r="H12" i="9"/>
  <c r="D16" i="11"/>
  <c r="H16" i="9"/>
  <c r="D13"/>
  <c r="H13" s="1"/>
  <c r="H13" i="8"/>
  <c r="D7" i="9"/>
  <c r="H7" s="1"/>
  <c r="H7" i="8"/>
  <c r="D4" i="11"/>
  <c r="H4" i="9"/>
  <c r="L3" i="13"/>
  <c r="L23"/>
  <c r="L23" i="12"/>
  <c r="J3" i="10"/>
  <c r="J23" i="11"/>
  <c r="F3" i="10"/>
  <c r="F3" i="12" s="1"/>
  <c r="F3" i="13" s="1"/>
  <c r="D4" i="10"/>
  <c r="D7" i="11"/>
  <c r="D13"/>
  <c r="D16" i="10"/>
  <c r="D16" i="12" s="1"/>
  <c r="D16" i="13" s="1"/>
  <c r="D12" i="10"/>
  <c r="H6" i="9"/>
  <c r="D6" i="11"/>
  <c r="D18" i="10"/>
  <c r="D14"/>
  <c r="D3" i="11"/>
  <c r="D5"/>
  <c r="H5" i="9"/>
  <c r="H17"/>
  <c r="D17" i="11"/>
  <c r="H10" i="9"/>
  <c r="D10" i="11"/>
  <c r="D10" i="10" s="1"/>
  <c r="D10" i="12" s="1"/>
  <c r="D10" i="13" s="1"/>
  <c r="H11" i="9"/>
  <c r="D15" i="11"/>
  <c r="D15" i="10" s="1"/>
  <c r="D15" i="12" s="1"/>
  <c r="D15" i="13" s="1"/>
  <c r="D8" i="10"/>
  <c r="J3" i="12"/>
  <c r="J23" i="10"/>
  <c r="D5"/>
  <c r="D6"/>
  <c r="D6" i="12" s="1"/>
  <c r="D6" i="13" s="1"/>
  <c r="D8" i="12"/>
  <c r="D17" i="10"/>
  <c r="H3" i="11"/>
  <c r="D14" i="12"/>
  <c r="D14" i="13" s="1"/>
  <c r="D18" i="12"/>
  <c r="D12"/>
  <c r="D13" i="10"/>
  <c r="D13" i="12" s="1"/>
  <c r="D13" i="13" s="1"/>
  <c r="D7" i="10"/>
  <c r="D4" i="12"/>
  <c r="J23"/>
  <c r="J3" i="13"/>
  <c r="J23"/>
  <c r="D4"/>
  <c r="D12"/>
  <c r="D18"/>
  <c r="D5" i="12"/>
  <c r="D7"/>
  <c r="D17"/>
  <c r="D8" i="13"/>
  <c r="D17"/>
  <c r="D7"/>
  <c r="D5"/>
  <c r="G29" l="1"/>
  <c r="G25" i="12"/>
  <c r="G26"/>
  <c r="G27" i="13"/>
  <c r="G28"/>
  <c r="J25" i="12"/>
  <c r="J25" i="10"/>
  <c r="J25" i="11"/>
  <c r="J25" i="9"/>
  <c r="J25" i="8"/>
  <c r="J27" i="7"/>
  <c r="J25" i="6"/>
  <c r="J27" i="5"/>
  <c r="J27" i="4"/>
  <c r="J27" i="3"/>
  <c r="J28"/>
  <c r="G24" i="12"/>
  <c r="G26" i="13"/>
  <c r="J27" i="2"/>
  <c r="J28"/>
  <c r="D28" i="13"/>
  <c r="F16" i="10"/>
  <c r="H16" i="11"/>
  <c r="D29"/>
  <c r="F12" i="10"/>
  <c r="H12" i="11"/>
  <c r="F10" i="10"/>
  <c r="H10" i="11"/>
  <c r="D9" i="10"/>
  <c r="H9" i="11"/>
  <c r="F8" i="10"/>
  <c r="H8" i="11"/>
  <c r="F6" i="10"/>
  <c r="H6" i="11"/>
  <c r="D3" i="10"/>
  <c r="F14"/>
  <c r="H14" i="11"/>
  <c r="F18" i="10"/>
  <c r="H18" i="11"/>
  <c r="F4" i="10"/>
  <c r="H4" i="11"/>
  <c r="F16" i="12"/>
  <c r="H16" i="10"/>
  <c r="F15"/>
  <c r="H15" i="11"/>
  <c r="F13" i="10"/>
  <c r="F13" i="12" s="1"/>
  <c r="H13" i="11"/>
  <c r="F10" i="12"/>
  <c r="F10" i="13" s="1"/>
  <c r="H10" i="10"/>
  <c r="H6"/>
  <c r="F6" i="12"/>
  <c r="H5" i="11"/>
  <c r="F5" i="10"/>
  <c r="F17"/>
  <c r="H17" i="11"/>
  <c r="F12" i="12"/>
  <c r="H12" i="10"/>
  <c r="H11" i="11"/>
  <c r="F11" i="10"/>
  <c r="F8" i="12"/>
  <c r="H8" i="10"/>
  <c r="H7" i="11"/>
  <c r="F7" i="10"/>
  <c r="H10" i="13"/>
  <c r="F29" i="11"/>
  <c r="D9" i="12"/>
  <c r="H9" i="10"/>
  <c r="J26" i="13"/>
  <c r="J24" i="12"/>
  <c r="D24"/>
  <c r="D26"/>
  <c r="G24" i="10"/>
  <c r="G25"/>
  <c r="J24" i="11"/>
  <c r="G24"/>
  <c r="D24"/>
  <c r="J24" i="9"/>
  <c r="G24"/>
  <c r="D24"/>
  <c r="J24" i="8"/>
  <c r="G24"/>
  <c r="D24"/>
  <c r="J26" i="7"/>
  <c r="G26"/>
  <c r="G27"/>
  <c r="G28"/>
  <c r="D26"/>
  <c r="J24" i="6"/>
  <c r="G24"/>
  <c r="D24"/>
  <c r="J26" i="5"/>
  <c r="G26"/>
  <c r="G27"/>
  <c r="G28"/>
  <c r="D26"/>
  <c r="J26" i="4"/>
  <c r="G26"/>
  <c r="D26"/>
  <c r="J26" i="3"/>
  <c r="F26"/>
  <c r="G26"/>
  <c r="D26"/>
  <c r="J24" i="10"/>
  <c r="J26" i="2"/>
  <c r="F26"/>
  <c r="D28" i="7"/>
  <c r="D28" i="5"/>
  <c r="H26" i="2"/>
  <c r="G26"/>
  <c r="D24" i="10"/>
  <c r="D26" i="2"/>
  <c r="D26" i="10"/>
  <c r="G26"/>
  <c r="G25" i="11"/>
  <c r="H29"/>
  <c r="G29"/>
  <c r="D26"/>
  <c r="G26"/>
  <c r="G26" i="9"/>
  <c r="G25" i="8"/>
  <c r="D26" i="9"/>
  <c r="D26" i="8"/>
  <c r="G26"/>
  <c r="G25" i="6"/>
  <c r="D26"/>
  <c r="G26"/>
  <c r="G27" i="4"/>
  <c r="G28"/>
  <c r="G27" i="3"/>
  <c r="F28"/>
  <c r="G28"/>
  <c r="D28" i="4"/>
  <c r="D28" i="3"/>
  <c r="F27" i="2"/>
  <c r="H27"/>
  <c r="G27"/>
  <c r="D27"/>
  <c r="F28"/>
  <c r="G28"/>
  <c r="D28"/>
  <c r="J27" i="13"/>
  <c r="J28"/>
  <c r="G25" i="7"/>
  <c r="G25" i="4"/>
  <c r="F25"/>
  <c r="D25" i="7"/>
  <c r="D25" i="4"/>
  <c r="D19"/>
  <c r="D27" s="1"/>
  <c r="D23" i="3"/>
  <c r="F22" i="4"/>
  <c r="H22" i="3"/>
  <c r="F21" i="4"/>
  <c r="F26" s="1"/>
  <c r="H21" i="3"/>
  <c r="H26" s="1"/>
  <c r="F20" i="4"/>
  <c r="F28" s="1"/>
  <c r="H20" i="3"/>
  <c r="H28" s="1"/>
  <c r="F19" i="4"/>
  <c r="F27" s="1"/>
  <c r="F23" i="3"/>
  <c r="H19"/>
  <c r="H23" s="1"/>
  <c r="H13" i="10" l="1"/>
  <c r="H10" i="12"/>
  <c r="H3" i="10"/>
  <c r="D3" i="12"/>
  <c r="F8" i="13"/>
  <c r="H8" s="1"/>
  <c r="H8" i="12"/>
  <c r="F12" i="13"/>
  <c r="H12" s="1"/>
  <c r="H12" i="12"/>
  <c r="F17"/>
  <c r="H17" i="10"/>
  <c r="F13" i="13"/>
  <c r="H13" s="1"/>
  <c r="H13" i="12"/>
  <c r="F15"/>
  <c r="H15" i="10"/>
  <c r="F16" i="13"/>
  <c r="H16" s="1"/>
  <c r="H16" i="12"/>
  <c r="F4"/>
  <c r="H4" i="10"/>
  <c r="F18" i="12"/>
  <c r="H18" i="10"/>
  <c r="F14" i="12"/>
  <c r="H14" i="10"/>
  <c r="F7" i="12"/>
  <c r="H7" i="10"/>
  <c r="F11" i="12"/>
  <c r="H11" i="10"/>
  <c r="F5" i="12"/>
  <c r="H5" i="10"/>
  <c r="F6" i="13"/>
  <c r="H6" s="1"/>
  <c r="H6" i="12"/>
  <c r="D9" i="13"/>
  <c r="H9" i="12"/>
  <c r="H27" i="3"/>
  <c r="F21" i="5"/>
  <c r="F27" s="1"/>
  <c r="F23" i="4"/>
  <c r="H19"/>
  <c r="H27" s="1"/>
  <c r="F22" i="5"/>
  <c r="F28" s="1"/>
  <c r="H20" i="4"/>
  <c r="H28" s="1"/>
  <c r="F23" i="5"/>
  <c r="F26" s="1"/>
  <c r="H21" i="4"/>
  <c r="H26" s="1"/>
  <c r="F24" i="5"/>
  <c r="H22" i="4"/>
  <c r="D27" i="5"/>
  <c r="D23" i="4"/>
  <c r="D3" i="13" l="1"/>
  <c r="H3" i="12"/>
  <c r="F5" i="13"/>
  <c r="H5" s="1"/>
  <c r="H5" i="12"/>
  <c r="F11" i="13"/>
  <c r="H11" s="1"/>
  <c r="H11" i="12"/>
  <c r="H7"/>
  <c r="F7" i="13"/>
  <c r="F14"/>
  <c r="H14" s="1"/>
  <c r="H14" i="12"/>
  <c r="F18" i="13"/>
  <c r="H18" s="1"/>
  <c r="H18" i="12"/>
  <c r="F4" i="13"/>
  <c r="H4" s="1"/>
  <c r="H4" i="12"/>
  <c r="H15"/>
  <c r="F15" i="13"/>
  <c r="H15" s="1"/>
  <c r="F17"/>
  <c r="H17" s="1"/>
  <c r="H17" i="12"/>
  <c r="H9" i="13"/>
  <c r="D26"/>
  <c r="D19" i="6"/>
  <c r="D25" i="5"/>
  <c r="D23" i="6" s="1"/>
  <c r="F22"/>
  <c r="H24" i="5"/>
  <c r="F21" i="6"/>
  <c r="F24" s="1"/>
  <c r="H23" i="5"/>
  <c r="H26" s="1"/>
  <c r="F20" i="6"/>
  <c r="F26" s="1"/>
  <c r="H22" i="5"/>
  <c r="H28" s="1"/>
  <c r="F19" i="6"/>
  <c r="F25" s="1"/>
  <c r="F25" i="5"/>
  <c r="F23" i="6" s="1"/>
  <c r="H21" i="5"/>
  <c r="H23" i="4"/>
  <c r="H7" i="13" l="1"/>
  <c r="F29"/>
  <c r="H3"/>
  <c r="H29" s="1"/>
  <c r="D29"/>
  <c r="H25" i="5"/>
  <c r="H27"/>
  <c r="D19" i="7"/>
  <c r="D27" s="1"/>
  <c r="D25" i="6"/>
  <c r="F19" i="7"/>
  <c r="F27" s="1"/>
  <c r="H19" i="6"/>
  <c r="H25" s="1"/>
  <c r="F20" i="7"/>
  <c r="F28" s="1"/>
  <c r="H20" i="6"/>
  <c r="H26" s="1"/>
  <c r="F21" i="7"/>
  <c r="F26" s="1"/>
  <c r="H21" i="6"/>
  <c r="H24" s="1"/>
  <c r="F22" i="7"/>
  <c r="H22" i="6"/>
  <c r="D19" i="8"/>
  <c r="D25" s="1"/>
  <c r="D23" i="7"/>
  <c r="D19" i="9" l="1"/>
  <c r="D25" s="1"/>
  <c r="D23" i="8"/>
  <c r="F22"/>
  <c r="H22" i="7"/>
  <c r="F21" i="8"/>
  <c r="F24" s="1"/>
  <c r="H21" i="7"/>
  <c r="H26" s="1"/>
  <c r="F20" i="8"/>
  <c r="F26" s="1"/>
  <c r="H20" i="7"/>
  <c r="H28" s="1"/>
  <c r="F19" i="8"/>
  <c r="F25" s="1"/>
  <c r="F23" i="7"/>
  <c r="H19"/>
  <c r="H23" i="6"/>
  <c r="H23" i="7" l="1"/>
  <c r="H27"/>
  <c r="F19" i="9"/>
  <c r="F25" s="1"/>
  <c r="F23" i="8"/>
  <c r="H19"/>
  <c r="H25" s="1"/>
  <c r="F20" i="9"/>
  <c r="F26" s="1"/>
  <c r="H20" i="8"/>
  <c r="H26" s="1"/>
  <c r="F21" i="9"/>
  <c r="F24" s="1"/>
  <c r="H21" i="8"/>
  <c r="H24" s="1"/>
  <c r="F22" i="9"/>
  <c r="H22" i="8"/>
  <c r="D19" i="11"/>
  <c r="D25" s="1"/>
  <c r="D23" i="9"/>
  <c r="D19" i="10" l="1"/>
  <c r="D25" s="1"/>
  <c r="D23" i="11"/>
  <c r="H22" i="9"/>
  <c r="F22" i="11"/>
  <c r="H21" i="9"/>
  <c r="H24" s="1"/>
  <c r="F21" i="11"/>
  <c r="F24" s="1"/>
  <c r="H20" i="9"/>
  <c r="H26" s="1"/>
  <c r="F20" i="11"/>
  <c r="F26" s="1"/>
  <c r="H19" i="9"/>
  <c r="F19" i="11"/>
  <c r="F25" s="1"/>
  <c r="F23" i="9"/>
  <c r="H23" i="8"/>
  <c r="H23" i="9" l="1"/>
  <c r="H25"/>
  <c r="F19" i="10"/>
  <c r="F25" s="1"/>
  <c r="H19" i="11"/>
  <c r="H25" s="1"/>
  <c r="F23"/>
  <c r="F20" i="10"/>
  <c r="F26" s="1"/>
  <c r="H20" i="11"/>
  <c r="H26" s="1"/>
  <c r="F21" i="10"/>
  <c r="F24" s="1"/>
  <c r="H21" i="11"/>
  <c r="H24" s="1"/>
  <c r="F22" i="10"/>
  <c r="H22" i="11"/>
  <c r="D19" i="12"/>
  <c r="D25" s="1"/>
  <c r="D23" i="10"/>
  <c r="D19" i="13" l="1"/>
  <c r="D23" i="12"/>
  <c r="F22"/>
  <c r="H22" i="10"/>
  <c r="F21" i="12"/>
  <c r="F24" s="1"/>
  <c r="H21" i="10"/>
  <c r="H24" s="1"/>
  <c r="F20" i="12"/>
  <c r="F26" s="1"/>
  <c r="H20" i="10"/>
  <c r="H26" s="1"/>
  <c r="F19" i="12"/>
  <c r="F25" s="1"/>
  <c r="H19" i="10"/>
  <c r="H25" s="1"/>
  <c r="F23"/>
  <c r="H23" i="11"/>
  <c r="H23" i="10" l="1"/>
  <c r="D23" i="13"/>
  <c r="D27"/>
  <c r="F19"/>
  <c r="F27" s="1"/>
  <c r="H19" i="12"/>
  <c r="H25" s="1"/>
  <c r="F23"/>
  <c r="F20" i="13"/>
  <c r="H20" i="12"/>
  <c r="H26" s="1"/>
  <c r="F21" i="13"/>
  <c r="H21" i="12"/>
  <c r="H24" s="1"/>
  <c r="F22" i="13"/>
  <c r="H22" s="1"/>
  <c r="H22" i="12"/>
  <c r="H21" i="13" l="1"/>
  <c r="H26" s="1"/>
  <c r="F26"/>
  <c r="H20"/>
  <c r="H28" s="1"/>
  <c r="F28"/>
  <c r="H19"/>
  <c r="F23"/>
  <c r="H23" i="12"/>
  <c r="H23" i="13" l="1"/>
  <c r="H27"/>
</calcChain>
</file>

<file path=xl/sharedStrings.xml><?xml version="1.0" encoding="utf-8"?>
<sst xmlns="http://schemas.openxmlformats.org/spreadsheetml/2006/main" count="238" uniqueCount="44">
  <si>
    <t>п/п</t>
  </si>
  <si>
    <t>Виды услуг</t>
  </si>
  <si>
    <t>нач. за месяц</t>
  </si>
  <si>
    <t>нач. с нач. года</t>
  </si>
  <si>
    <t>упл. жильц.за мес.</t>
  </si>
  <si>
    <t>упл.ж. с нач года</t>
  </si>
  <si>
    <t>разн. за мес.</t>
  </si>
  <si>
    <t>разн. с нач. отч. пер.</t>
  </si>
  <si>
    <t>выст. за мес.</t>
  </si>
  <si>
    <t xml:space="preserve">выст.с нач.года </t>
  </si>
  <si>
    <t>упл. Рел. в мес.</t>
  </si>
  <si>
    <t>Упл. с нач. года</t>
  </si>
  <si>
    <t>итого</t>
  </si>
  <si>
    <t xml:space="preserve">Содер общ им </t>
  </si>
  <si>
    <t>Б.Сампсониевский д.94</t>
  </si>
  <si>
    <t>Б.Сампсониевский 94</t>
  </si>
  <si>
    <t>Содержание общ.имущ.дома</t>
  </si>
  <si>
    <t>Отопление</t>
  </si>
  <si>
    <t>Горячее водоснабжение</t>
  </si>
  <si>
    <t>Газ</t>
  </si>
  <si>
    <t>Уборка и сан.очистка зем.участка</t>
  </si>
  <si>
    <t>Электроснабжение(инд.потребление)</t>
  </si>
  <si>
    <t>Холодная вода</t>
  </si>
  <si>
    <t>Канализир.х.воды</t>
  </si>
  <si>
    <t>Канализир.г.воды</t>
  </si>
  <si>
    <t>Тек.рем.общ.имущ.дома</t>
  </si>
  <si>
    <t>Сод.и тек.рем.в/дом.газос.</t>
  </si>
  <si>
    <t>Управление многокварт.</t>
  </si>
  <si>
    <t>Водоотведение(кв)</t>
  </si>
  <si>
    <t>Эксплуатация общ.ПУ</t>
  </si>
  <si>
    <t>Водоотведение(о/д нужд)</t>
  </si>
  <si>
    <t>Отопление(о/д нужд)</t>
  </si>
  <si>
    <t>Электроснабжение(общед.нужды)</t>
  </si>
  <si>
    <t>Горячее водоснабж.(о/д нужды)</t>
  </si>
  <si>
    <t>форма 22</t>
  </si>
  <si>
    <t>водоканал</t>
  </si>
  <si>
    <t>ПСК</t>
  </si>
  <si>
    <t>ГУПТЭК</t>
  </si>
  <si>
    <t>пск</t>
  </si>
  <si>
    <t>гуптэк</t>
  </si>
  <si>
    <t>Холодное водоснабж.(О/д нужд)</t>
  </si>
  <si>
    <t>Хлодное водоснаб. (о/д нужды)</t>
  </si>
  <si>
    <t>за Ноябрь</t>
  </si>
  <si>
    <t>за Декабрь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</si>
</sst>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0_ ;[Red]\-0.00\ "/>
  </numFmts>
  <fonts count="8">
    <font>
      <sz val="10"/>
      <name val="Arial"/>
    </font>
    <font>
      <b/>
      <sz val="10"/>
      <name val="Arial"/>
      <family val="2"/>
      <charset val="204"/>
    </font>
    <font>
      <sz val="12"/>
      <name val="Arial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0"/>
      <name val="Cambria"/>
      <family val="1"/>
      <charset val="204"/>
    </font>
    <font>
      <sz val="10"/>
      <name val="Cambria"/>
      <family val="1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73">
    <xf numFmtId="0" fontId="0" fillId="0" borderId="0" xfId="0"/>
    <xf numFmtId="0" fontId="0" fillId="0" borderId="1" xfId="0" applyBorder="1"/>
    <xf numFmtId="2" fontId="0" fillId="0" borderId="1" xfId="0" applyNumberFormat="1" applyBorder="1"/>
    <xf numFmtId="2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0" borderId="1" xfId="0" applyBorder="1" applyAlignment="1">
      <alignment shrinkToFit="1"/>
    </xf>
    <xf numFmtId="2" fontId="0" fillId="0" borderId="1" xfId="0" applyNumberFormat="1" applyBorder="1" applyAlignment="1">
      <alignment horizontal="center" shrinkToFit="1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1" fontId="0" fillId="0" borderId="0" xfId="0" applyNumberFormat="1"/>
    <xf numFmtId="0" fontId="1" fillId="0" borderId="0" xfId="0" applyFont="1"/>
    <xf numFmtId="0" fontId="2" fillId="0" borderId="0" xfId="0" applyFont="1"/>
    <xf numFmtId="164" fontId="0" fillId="0" borderId="1" xfId="0" applyNumberFormat="1" applyFill="1" applyBorder="1" applyAlignment="1">
      <alignment horizontal="center"/>
    </xf>
    <xf numFmtId="0" fontId="0" fillId="0" borderId="0" xfId="0" applyFill="1"/>
    <xf numFmtId="164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 shrinkToFit="1"/>
    </xf>
    <xf numFmtId="49" fontId="1" fillId="0" borderId="1" xfId="0" applyNumberFormat="1" applyFont="1" applyBorder="1" applyAlignment="1">
      <alignment horizontal="center" wrapText="1" shrinkToFit="1"/>
    </xf>
    <xf numFmtId="0" fontId="1" fillId="0" borderId="1" xfId="0" applyFont="1" applyBorder="1" applyAlignment="1">
      <alignment wrapText="1" shrinkToFit="1"/>
    </xf>
    <xf numFmtId="2" fontId="0" fillId="2" borderId="1" xfId="0" applyNumberFormat="1" applyFill="1" applyBorder="1" applyAlignment="1">
      <alignment horizontal="center" shrinkToFit="1"/>
    </xf>
    <xf numFmtId="0" fontId="0" fillId="2" borderId="1" xfId="0" applyFill="1" applyBorder="1"/>
    <xf numFmtId="0" fontId="0" fillId="2" borderId="0" xfId="0" applyFill="1"/>
    <xf numFmtId="164" fontId="0" fillId="2" borderId="2" xfId="0" applyNumberFormat="1" applyFill="1" applyBorder="1"/>
    <xf numFmtId="0" fontId="0" fillId="0" borderId="1" xfId="0" applyBorder="1" applyAlignment="1">
      <alignment horizontal="center" wrapText="1" shrinkToFit="1"/>
    </xf>
    <xf numFmtId="49" fontId="0" fillId="0" borderId="1" xfId="0" applyNumberFormat="1" applyBorder="1" applyAlignment="1">
      <alignment horizontal="center" wrapText="1" shrinkToFit="1"/>
    </xf>
    <xf numFmtId="0" fontId="0" fillId="2" borderId="1" xfId="0" applyFill="1" applyBorder="1" applyAlignment="1">
      <alignment horizontal="center" wrapText="1" shrinkToFit="1"/>
    </xf>
    <xf numFmtId="0" fontId="0" fillId="0" borderId="1" xfId="0" applyBorder="1" applyAlignment="1">
      <alignment wrapText="1" shrinkToFit="1"/>
    </xf>
    <xf numFmtId="0" fontId="0" fillId="2" borderId="1" xfId="0" applyFill="1" applyBorder="1" applyAlignment="1">
      <alignment wrapText="1" shrinkToFi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wrapText="1" shrinkToFit="1"/>
    </xf>
    <xf numFmtId="0" fontId="1" fillId="2" borderId="1" xfId="0" applyFont="1" applyFill="1" applyBorder="1" applyAlignment="1">
      <alignment horizontal="center" wrapText="1" shrinkToFit="1"/>
    </xf>
    <xf numFmtId="0" fontId="4" fillId="0" borderId="1" xfId="0" applyFont="1" applyBorder="1" applyAlignment="1">
      <alignment wrapText="1" shrinkToFit="1"/>
    </xf>
    <xf numFmtId="0" fontId="4" fillId="0" borderId="1" xfId="0" applyFont="1" applyBorder="1" applyAlignment="1">
      <alignment horizontal="center" wrapText="1" shrinkToFit="1"/>
    </xf>
    <xf numFmtId="49" fontId="4" fillId="0" borderId="1" xfId="0" applyNumberFormat="1" applyFont="1" applyBorder="1" applyAlignment="1">
      <alignment horizontal="center" wrapText="1" shrinkToFit="1"/>
    </xf>
    <xf numFmtId="0" fontId="0" fillId="2" borderId="2" xfId="0" applyFill="1" applyBorder="1" applyAlignment="1">
      <alignment wrapText="1" shrinkToFit="1"/>
    </xf>
    <xf numFmtId="0" fontId="0" fillId="0" borderId="1" xfId="0" applyFill="1" applyBorder="1" applyAlignment="1">
      <alignment horizontal="center" wrapText="1" shrinkToFit="1"/>
    </xf>
    <xf numFmtId="2" fontId="6" fillId="2" borderId="1" xfId="0" applyNumberFormat="1" applyFont="1" applyFill="1" applyBorder="1" applyAlignment="1">
      <alignment horizontal="left" vertical="center" wrapText="1" shrinkToFit="1"/>
    </xf>
    <xf numFmtId="0" fontId="6" fillId="2" borderId="1" xfId="0" applyNumberFormat="1" applyFont="1" applyFill="1" applyBorder="1" applyAlignment="1">
      <alignment horizontal="left" vertical="center" wrapText="1" shrinkToFit="1"/>
    </xf>
    <xf numFmtId="0" fontId="5" fillId="2" borderId="1" xfId="0" applyNumberFormat="1" applyFont="1" applyFill="1" applyBorder="1" applyAlignment="1">
      <alignment horizontal="left" vertical="center" wrapText="1" shrinkToFit="1"/>
    </xf>
    <xf numFmtId="0" fontId="0" fillId="0" borderId="1" xfId="0" applyBorder="1" applyAlignment="1">
      <alignment horizontal="left" vertical="center" wrapText="1" shrinkToFit="1"/>
    </xf>
    <xf numFmtId="49" fontId="0" fillId="0" borderId="1" xfId="0" applyNumberFormat="1" applyBorder="1" applyAlignment="1">
      <alignment horizontal="left" vertical="center" wrapText="1" shrinkToFit="1"/>
    </xf>
    <xf numFmtId="0" fontId="0" fillId="2" borderId="1" xfId="0" applyFill="1" applyBorder="1" applyAlignment="1">
      <alignment horizontal="left" vertical="center" wrapText="1" shrinkToFit="1"/>
    </xf>
    <xf numFmtId="0" fontId="0" fillId="0" borderId="1" xfId="0" applyFill="1" applyBorder="1" applyAlignment="1">
      <alignment horizontal="left" vertical="center" wrapText="1" shrinkToFi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left" vertical="center" wrapText="1"/>
    </xf>
    <xf numFmtId="164" fontId="0" fillId="2" borderId="1" xfId="0" applyNumberFormat="1" applyFill="1" applyBorder="1" applyAlignment="1">
      <alignment horizontal="left" vertical="center" wrapText="1"/>
    </xf>
    <xf numFmtId="164" fontId="0" fillId="0" borderId="1" xfId="0" applyNumberFormat="1" applyFill="1" applyBorder="1" applyAlignment="1">
      <alignment horizontal="left" vertical="center" wrapText="1"/>
    </xf>
    <xf numFmtId="164" fontId="0" fillId="0" borderId="0" xfId="0" applyNumberFormat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left" vertical="center" wrapText="1" shrinkToFit="1"/>
    </xf>
    <xf numFmtId="164" fontId="3" fillId="2" borderId="1" xfId="0" applyNumberFormat="1" applyFont="1" applyFill="1" applyBorder="1" applyAlignment="1">
      <alignment horizontal="left" vertical="center" wrapText="1"/>
    </xf>
    <xf numFmtId="2" fontId="0" fillId="2" borderId="1" xfId="0" applyNumberFormat="1" applyFill="1" applyBorder="1" applyAlignment="1">
      <alignment horizontal="left" vertical="center" wrapText="1" shrinkToFit="1"/>
    </xf>
    <xf numFmtId="0" fontId="0" fillId="0" borderId="1" xfId="0" applyBorder="1" applyAlignment="1">
      <alignment horizontal="center"/>
    </xf>
    <xf numFmtId="0" fontId="0" fillId="3" borderId="1" xfId="0" applyFill="1" applyBorder="1"/>
    <xf numFmtId="164" fontId="0" fillId="3" borderId="1" xfId="0" applyNumberFormat="1" applyFill="1" applyBorder="1"/>
    <xf numFmtId="2" fontId="5" fillId="2" borderId="1" xfId="0" applyNumberFormat="1" applyFont="1" applyFill="1" applyBorder="1" applyAlignment="1">
      <alignment horizontal="left" vertical="center" wrapText="1" shrinkToFit="1"/>
    </xf>
    <xf numFmtId="0" fontId="0" fillId="3" borderId="1" xfId="0" applyFill="1" applyBorder="1" applyAlignment="1">
      <alignment horizontal="center"/>
    </xf>
    <xf numFmtId="164" fontId="4" fillId="0" borderId="1" xfId="0" applyNumberFormat="1" applyFont="1" applyBorder="1"/>
    <xf numFmtId="164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/>
    <xf numFmtId="43" fontId="0" fillId="0" borderId="0" xfId="1" applyFont="1" applyAlignment="1">
      <alignment horizontal="center"/>
    </xf>
    <xf numFmtId="43" fontId="1" fillId="0" borderId="0" xfId="1" applyFont="1" applyAlignment="1">
      <alignment horizontal="center"/>
    </xf>
    <xf numFmtId="43" fontId="0" fillId="0" borderId="0" xfId="1" applyFont="1"/>
    <xf numFmtId="43" fontId="1" fillId="0" borderId="0" xfId="1" applyFont="1"/>
    <xf numFmtId="43" fontId="0" fillId="0" borderId="0" xfId="0" applyNumberFormat="1"/>
    <xf numFmtId="0" fontId="1" fillId="0" borderId="0" xfId="0" applyFont="1" applyFill="1"/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43" fontId="0" fillId="0" borderId="0" xfId="1" applyFont="1" applyFill="1"/>
    <xf numFmtId="43" fontId="0" fillId="0" borderId="0" xfId="0" applyNumberForma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39"/>
  <sheetViews>
    <sheetView workbookViewId="0">
      <selection activeCell="E40" sqref="E40"/>
    </sheetView>
  </sheetViews>
  <sheetFormatPr defaultRowHeight="12.75"/>
  <cols>
    <col min="1" max="1" width="5.7109375" customWidth="1"/>
    <col min="2" max="2" width="33.28515625" customWidth="1"/>
    <col min="3" max="3" width="11" customWidth="1"/>
    <col min="4" max="4" width="12.42578125" customWidth="1"/>
    <col min="5" max="5" width="10.85546875" customWidth="1"/>
    <col min="6" max="6" width="11.140625" customWidth="1"/>
    <col min="7" max="7" width="11.7109375" customWidth="1"/>
    <col min="8" max="8" width="11.28515625" customWidth="1"/>
    <col min="9" max="9" width="11.5703125" customWidth="1"/>
    <col min="10" max="10" width="11.85546875" customWidth="1"/>
    <col min="11" max="11" width="9.7109375" customWidth="1"/>
    <col min="12" max="12" width="10.42578125" customWidth="1"/>
  </cols>
  <sheetData>
    <row r="2" spans="1:12" s="30" customFormat="1" ht="38.25">
      <c r="A2" s="17" t="s">
        <v>0</v>
      </c>
      <c r="B2" s="27" t="s">
        <v>1</v>
      </c>
      <c r="C2" s="26" t="s">
        <v>2</v>
      </c>
      <c r="D2" s="27" t="s">
        <v>3</v>
      </c>
      <c r="E2" s="28" t="s">
        <v>4</v>
      </c>
      <c r="F2" s="27" t="s">
        <v>5</v>
      </c>
      <c r="G2" s="27" t="s">
        <v>6</v>
      </c>
      <c r="H2" s="29" t="s">
        <v>7</v>
      </c>
      <c r="I2" s="28" t="s">
        <v>8</v>
      </c>
      <c r="J2" s="29" t="s">
        <v>9</v>
      </c>
      <c r="K2" s="25" t="s">
        <v>10</v>
      </c>
      <c r="L2" s="27" t="s">
        <v>11</v>
      </c>
    </row>
    <row r="3" spans="1:12" ht="14.1" customHeight="1">
      <c r="A3" s="1">
        <v>1</v>
      </c>
      <c r="B3" s="38" t="s">
        <v>16</v>
      </c>
      <c r="C3" s="8">
        <v>39797.949999999997</v>
      </c>
      <c r="D3" s="15">
        <f>C3</f>
        <v>39797.949999999997</v>
      </c>
      <c r="E3" s="9">
        <v>33282.22</v>
      </c>
      <c r="F3" s="15">
        <f>E3</f>
        <v>33282.22</v>
      </c>
      <c r="G3" s="15">
        <f>E3-C3</f>
        <v>-6515.7299999999959</v>
      </c>
      <c r="H3" s="16">
        <f>F3-D3</f>
        <v>-6515.7299999999959</v>
      </c>
      <c r="I3" s="9"/>
      <c r="J3" s="16">
        <f>I3</f>
        <v>0</v>
      </c>
      <c r="K3" s="8"/>
      <c r="L3" s="15">
        <f>K3</f>
        <v>0</v>
      </c>
    </row>
    <row r="4" spans="1:12" ht="14.1" customHeight="1">
      <c r="A4" s="1">
        <f>A3+1</f>
        <v>2</v>
      </c>
      <c r="B4" s="38" t="s">
        <v>17</v>
      </c>
      <c r="C4" s="8">
        <v>167468.24</v>
      </c>
      <c r="D4" s="15">
        <f t="shared" ref="D4:D22" si="0">C4</f>
        <v>167468.24</v>
      </c>
      <c r="E4" s="9">
        <v>115012.15</v>
      </c>
      <c r="F4" s="15">
        <f t="shared" ref="F4:F22" si="1">E4</f>
        <v>115012.15</v>
      </c>
      <c r="G4" s="15">
        <f t="shared" ref="G4:G22" si="2">E4-C4</f>
        <v>-52456.09</v>
      </c>
      <c r="H4" s="16">
        <f t="shared" ref="H4:H22" si="3">F4-D4</f>
        <v>-52456.09</v>
      </c>
      <c r="I4" s="9"/>
      <c r="J4" s="16">
        <f t="shared" ref="J4:J22" si="4">I4</f>
        <v>0</v>
      </c>
      <c r="K4" s="8"/>
      <c r="L4" s="15">
        <f t="shared" ref="L4:L22" si="5">K4</f>
        <v>0</v>
      </c>
    </row>
    <row r="5" spans="1:12" ht="14.1" customHeight="1">
      <c r="A5" s="1">
        <f t="shared" ref="A5:A22" si="6">A4+1</f>
        <v>3</v>
      </c>
      <c r="B5" s="38" t="s">
        <v>18</v>
      </c>
      <c r="C5" s="8">
        <v>62746.48</v>
      </c>
      <c r="D5" s="15">
        <f t="shared" si="0"/>
        <v>62746.48</v>
      </c>
      <c r="E5" s="9">
        <v>52542.75</v>
      </c>
      <c r="F5" s="15">
        <f t="shared" si="1"/>
        <v>52542.75</v>
      </c>
      <c r="G5" s="15">
        <f t="shared" si="2"/>
        <v>-10203.730000000003</v>
      </c>
      <c r="H5" s="16">
        <f t="shared" si="3"/>
        <v>-10203.730000000003</v>
      </c>
      <c r="I5" s="9"/>
      <c r="J5" s="16">
        <f t="shared" si="4"/>
        <v>0</v>
      </c>
      <c r="K5" s="8"/>
      <c r="L5" s="15">
        <f t="shared" si="5"/>
        <v>0</v>
      </c>
    </row>
    <row r="6" spans="1:12" ht="14.1" customHeight="1">
      <c r="A6" s="1">
        <f t="shared" si="6"/>
        <v>4</v>
      </c>
      <c r="B6" s="38" t="s">
        <v>19</v>
      </c>
      <c r="C6" s="8">
        <v>0</v>
      </c>
      <c r="D6" s="15">
        <f t="shared" si="0"/>
        <v>0</v>
      </c>
      <c r="E6" s="9">
        <v>0</v>
      </c>
      <c r="F6" s="15">
        <f t="shared" si="1"/>
        <v>0</v>
      </c>
      <c r="G6" s="15">
        <f t="shared" si="2"/>
        <v>0</v>
      </c>
      <c r="H6" s="16">
        <f t="shared" si="3"/>
        <v>0</v>
      </c>
      <c r="I6" s="9"/>
      <c r="J6" s="16">
        <f t="shared" si="4"/>
        <v>0</v>
      </c>
      <c r="K6" s="8"/>
      <c r="L6" s="15">
        <f t="shared" si="5"/>
        <v>0</v>
      </c>
    </row>
    <row r="7" spans="1:12" ht="14.1" customHeight="1">
      <c r="A7" s="1">
        <f t="shared" si="6"/>
        <v>5</v>
      </c>
      <c r="B7" s="38" t="s">
        <v>20</v>
      </c>
      <c r="C7" s="8">
        <v>5457.81</v>
      </c>
      <c r="D7" s="15">
        <f t="shared" si="0"/>
        <v>5457.81</v>
      </c>
      <c r="E7" s="9">
        <v>4662.58</v>
      </c>
      <c r="F7" s="15">
        <f t="shared" si="1"/>
        <v>4662.58</v>
      </c>
      <c r="G7" s="15">
        <f t="shared" si="2"/>
        <v>-795.23000000000047</v>
      </c>
      <c r="H7" s="16">
        <f t="shared" si="3"/>
        <v>-795.23000000000047</v>
      </c>
      <c r="I7" s="9"/>
      <c r="J7" s="16">
        <f t="shared" si="4"/>
        <v>0</v>
      </c>
      <c r="K7" s="8"/>
      <c r="L7" s="15">
        <f t="shared" si="5"/>
        <v>0</v>
      </c>
    </row>
    <row r="8" spans="1:12" ht="14.1" customHeight="1">
      <c r="A8" s="1">
        <f t="shared" si="6"/>
        <v>6</v>
      </c>
      <c r="B8" s="38" t="s">
        <v>21</v>
      </c>
      <c r="C8" s="8">
        <v>39488.89</v>
      </c>
      <c r="D8" s="15">
        <f t="shared" si="0"/>
        <v>39488.89</v>
      </c>
      <c r="E8" s="9">
        <v>35085.589999999997</v>
      </c>
      <c r="F8" s="15">
        <f t="shared" si="1"/>
        <v>35085.589999999997</v>
      </c>
      <c r="G8" s="15">
        <f t="shared" si="2"/>
        <v>-4403.3000000000029</v>
      </c>
      <c r="H8" s="16">
        <f t="shared" si="3"/>
        <v>-4403.3000000000029</v>
      </c>
      <c r="I8" s="9"/>
      <c r="J8" s="16">
        <f t="shared" si="4"/>
        <v>0</v>
      </c>
      <c r="K8" s="8"/>
      <c r="L8" s="15">
        <f t="shared" si="5"/>
        <v>0</v>
      </c>
    </row>
    <row r="9" spans="1:12" ht="14.1" customHeight="1">
      <c r="A9" s="1">
        <f t="shared" si="6"/>
        <v>7</v>
      </c>
      <c r="B9" s="38" t="s">
        <v>22</v>
      </c>
      <c r="C9" s="8">
        <v>23011.58</v>
      </c>
      <c r="D9" s="15">
        <f t="shared" si="0"/>
        <v>23011.58</v>
      </c>
      <c r="E9" s="9">
        <v>19424.53</v>
      </c>
      <c r="F9" s="15">
        <f t="shared" si="1"/>
        <v>19424.53</v>
      </c>
      <c r="G9" s="15">
        <f t="shared" si="2"/>
        <v>-3587.0500000000029</v>
      </c>
      <c r="H9" s="16">
        <f t="shared" si="3"/>
        <v>-3587.0500000000029</v>
      </c>
      <c r="I9" s="9"/>
      <c r="J9" s="16">
        <f t="shared" si="4"/>
        <v>0</v>
      </c>
      <c r="K9" s="8"/>
      <c r="L9" s="15">
        <f t="shared" si="5"/>
        <v>0</v>
      </c>
    </row>
    <row r="10" spans="1:12" ht="14.1" customHeight="1">
      <c r="A10" s="1">
        <f t="shared" si="6"/>
        <v>8</v>
      </c>
      <c r="B10" s="38" t="s">
        <v>23</v>
      </c>
      <c r="C10" s="8">
        <v>0</v>
      </c>
      <c r="D10" s="15">
        <f t="shared" si="0"/>
        <v>0</v>
      </c>
      <c r="E10" s="9">
        <v>21.93</v>
      </c>
      <c r="F10" s="15">
        <f t="shared" si="1"/>
        <v>21.93</v>
      </c>
      <c r="G10" s="15">
        <f t="shared" si="2"/>
        <v>21.93</v>
      </c>
      <c r="H10" s="16">
        <f t="shared" si="3"/>
        <v>21.93</v>
      </c>
      <c r="I10" s="9"/>
      <c r="J10" s="16">
        <f t="shared" si="4"/>
        <v>0</v>
      </c>
      <c r="K10" s="8"/>
      <c r="L10" s="15">
        <f t="shared" si="5"/>
        <v>0</v>
      </c>
    </row>
    <row r="11" spans="1:12" ht="14.1" customHeight="1">
      <c r="A11" s="1">
        <f t="shared" si="6"/>
        <v>9</v>
      </c>
      <c r="B11" s="38" t="s">
        <v>24</v>
      </c>
      <c r="C11" s="8">
        <v>0</v>
      </c>
      <c r="D11" s="15">
        <f t="shared" si="0"/>
        <v>0</v>
      </c>
      <c r="E11" s="9">
        <v>14.95</v>
      </c>
      <c r="F11" s="15">
        <f t="shared" si="1"/>
        <v>14.95</v>
      </c>
      <c r="G11" s="15">
        <f t="shared" si="2"/>
        <v>14.95</v>
      </c>
      <c r="H11" s="16">
        <f t="shared" si="3"/>
        <v>14.95</v>
      </c>
      <c r="I11" s="9"/>
      <c r="J11" s="16">
        <f t="shared" si="4"/>
        <v>0</v>
      </c>
      <c r="K11" s="8"/>
      <c r="L11" s="15">
        <f t="shared" si="5"/>
        <v>0</v>
      </c>
    </row>
    <row r="12" spans="1:12" ht="14.1" customHeight="1">
      <c r="A12" s="1">
        <f t="shared" si="6"/>
        <v>10</v>
      </c>
      <c r="B12" s="38" t="s">
        <v>25</v>
      </c>
      <c r="C12" s="8">
        <v>20969.71</v>
      </c>
      <c r="D12" s="15">
        <f t="shared" si="0"/>
        <v>20969.71</v>
      </c>
      <c r="E12" s="9">
        <v>17900.3</v>
      </c>
      <c r="F12" s="15">
        <f t="shared" si="1"/>
        <v>17900.3</v>
      </c>
      <c r="G12" s="15">
        <f t="shared" si="2"/>
        <v>-3069.41</v>
      </c>
      <c r="H12" s="16">
        <f t="shared" si="3"/>
        <v>-3069.41</v>
      </c>
      <c r="I12" s="9"/>
      <c r="J12" s="16">
        <f t="shared" si="4"/>
        <v>0</v>
      </c>
      <c r="K12" s="8"/>
      <c r="L12" s="15">
        <f t="shared" si="5"/>
        <v>0</v>
      </c>
    </row>
    <row r="13" spans="1:12" ht="14.1" customHeight="1">
      <c r="A13" s="1">
        <f t="shared" si="6"/>
        <v>11</v>
      </c>
      <c r="B13" s="38" t="s">
        <v>26</v>
      </c>
      <c r="C13" s="8">
        <v>2334.02</v>
      </c>
      <c r="D13" s="15">
        <f t="shared" si="0"/>
        <v>2334.02</v>
      </c>
      <c r="E13" s="9">
        <v>1991.73</v>
      </c>
      <c r="F13" s="15">
        <f t="shared" si="1"/>
        <v>1991.73</v>
      </c>
      <c r="G13" s="15">
        <f t="shared" si="2"/>
        <v>-342.28999999999996</v>
      </c>
      <c r="H13" s="16">
        <f t="shared" si="3"/>
        <v>-342.28999999999996</v>
      </c>
      <c r="I13" s="9"/>
      <c r="J13" s="16">
        <f t="shared" si="4"/>
        <v>0</v>
      </c>
      <c r="K13" s="8"/>
      <c r="L13" s="15">
        <f t="shared" si="5"/>
        <v>0</v>
      </c>
    </row>
    <row r="14" spans="1:12" ht="14.1" customHeight="1">
      <c r="A14" s="1">
        <f t="shared" si="6"/>
        <v>12</v>
      </c>
      <c r="B14" s="38" t="s">
        <v>27</v>
      </c>
      <c r="C14" s="8">
        <v>8222.7000000000007</v>
      </c>
      <c r="D14" s="15">
        <f t="shared" si="0"/>
        <v>8222.7000000000007</v>
      </c>
      <c r="E14" s="9">
        <v>6982.62</v>
      </c>
      <c r="F14" s="15">
        <f t="shared" si="1"/>
        <v>6982.62</v>
      </c>
      <c r="G14" s="15">
        <f t="shared" si="2"/>
        <v>-1240.0800000000008</v>
      </c>
      <c r="H14" s="16">
        <f t="shared" si="3"/>
        <v>-1240.0800000000008</v>
      </c>
      <c r="I14" s="9"/>
      <c r="J14" s="16">
        <f t="shared" si="4"/>
        <v>0</v>
      </c>
      <c r="K14" s="8"/>
      <c r="L14" s="15">
        <f t="shared" si="5"/>
        <v>0</v>
      </c>
    </row>
    <row r="15" spans="1:12" ht="14.1" customHeight="1">
      <c r="A15" s="1">
        <f t="shared" si="6"/>
        <v>13</v>
      </c>
      <c r="B15" s="38" t="s">
        <v>28</v>
      </c>
      <c r="C15" s="8">
        <v>39287.33</v>
      </c>
      <c r="D15" s="15">
        <f t="shared" si="0"/>
        <v>39287.33</v>
      </c>
      <c r="E15" s="9">
        <v>33299.160000000003</v>
      </c>
      <c r="F15" s="15">
        <f t="shared" si="1"/>
        <v>33299.160000000003</v>
      </c>
      <c r="G15" s="15">
        <f t="shared" si="2"/>
        <v>-5988.1699999999983</v>
      </c>
      <c r="H15" s="16">
        <f t="shared" si="3"/>
        <v>-5988.1699999999983</v>
      </c>
      <c r="I15" s="9"/>
      <c r="J15" s="16">
        <f t="shared" si="4"/>
        <v>0</v>
      </c>
      <c r="K15" s="8"/>
      <c r="L15" s="15">
        <f t="shared" si="5"/>
        <v>0</v>
      </c>
    </row>
    <row r="16" spans="1:12" ht="14.1" customHeight="1">
      <c r="A16" s="1">
        <f t="shared" si="6"/>
        <v>14</v>
      </c>
      <c r="B16" s="38" t="s">
        <v>29</v>
      </c>
      <c r="C16" s="8">
        <v>2226.1799999999998</v>
      </c>
      <c r="D16" s="15">
        <f t="shared" si="0"/>
        <v>2226.1799999999998</v>
      </c>
      <c r="E16" s="9">
        <v>1900.92</v>
      </c>
      <c r="F16" s="15">
        <f t="shared" si="1"/>
        <v>1900.92</v>
      </c>
      <c r="G16" s="15">
        <f t="shared" si="2"/>
        <v>-325.25999999999976</v>
      </c>
      <c r="H16" s="16">
        <f t="shared" si="3"/>
        <v>-325.25999999999976</v>
      </c>
      <c r="I16" s="9"/>
      <c r="J16" s="16">
        <f t="shared" si="4"/>
        <v>0</v>
      </c>
      <c r="K16" s="8"/>
      <c r="L16" s="15">
        <f t="shared" si="5"/>
        <v>0</v>
      </c>
    </row>
    <row r="17" spans="1:12" ht="14.1" customHeight="1">
      <c r="A17" s="1">
        <f t="shared" si="6"/>
        <v>15</v>
      </c>
      <c r="B17" s="38" t="s">
        <v>30</v>
      </c>
      <c r="C17" s="8">
        <v>0</v>
      </c>
      <c r="D17" s="15">
        <f t="shared" si="0"/>
        <v>0</v>
      </c>
      <c r="E17" s="9">
        <v>0</v>
      </c>
      <c r="F17" s="15">
        <f t="shared" si="1"/>
        <v>0</v>
      </c>
      <c r="G17" s="15">
        <f t="shared" si="2"/>
        <v>0</v>
      </c>
      <c r="H17" s="16">
        <f t="shared" si="3"/>
        <v>0</v>
      </c>
      <c r="I17" s="9"/>
      <c r="J17" s="16">
        <f t="shared" si="4"/>
        <v>0</v>
      </c>
      <c r="K17" s="8"/>
      <c r="L17" s="15">
        <f t="shared" si="5"/>
        <v>0</v>
      </c>
    </row>
    <row r="18" spans="1:12" ht="14.1" customHeight="1">
      <c r="A18" s="1">
        <f t="shared" si="6"/>
        <v>16</v>
      </c>
      <c r="B18" s="38" t="s">
        <v>31</v>
      </c>
      <c r="C18" s="8">
        <v>0</v>
      </c>
      <c r="D18" s="15">
        <f t="shared" si="0"/>
        <v>0</v>
      </c>
      <c r="E18" s="9">
        <v>0</v>
      </c>
      <c r="F18" s="15">
        <f t="shared" si="1"/>
        <v>0</v>
      </c>
      <c r="G18" s="15">
        <f t="shared" si="2"/>
        <v>0</v>
      </c>
      <c r="H18" s="16">
        <f t="shared" si="3"/>
        <v>0</v>
      </c>
      <c r="I18" s="9"/>
      <c r="J18" s="16">
        <f t="shared" si="4"/>
        <v>0</v>
      </c>
      <c r="K18" s="8"/>
      <c r="L18" s="15">
        <f t="shared" si="5"/>
        <v>0</v>
      </c>
    </row>
    <row r="19" spans="1:12" ht="14.1" customHeight="1">
      <c r="A19" s="1">
        <f t="shared" si="6"/>
        <v>17</v>
      </c>
      <c r="B19" s="38" t="s">
        <v>32</v>
      </c>
      <c r="C19" s="8">
        <v>989.58</v>
      </c>
      <c r="D19" s="15">
        <f t="shared" si="0"/>
        <v>989.58</v>
      </c>
      <c r="E19" s="9">
        <v>24138.02</v>
      </c>
      <c r="F19" s="15">
        <f t="shared" si="1"/>
        <v>24138.02</v>
      </c>
      <c r="G19" s="15">
        <f t="shared" si="2"/>
        <v>23148.44</v>
      </c>
      <c r="H19" s="16">
        <f t="shared" si="3"/>
        <v>23148.44</v>
      </c>
      <c r="I19" s="9"/>
      <c r="J19" s="16">
        <f t="shared" si="4"/>
        <v>0</v>
      </c>
      <c r="K19" s="8"/>
      <c r="L19" s="15">
        <f t="shared" si="5"/>
        <v>0</v>
      </c>
    </row>
    <row r="20" spans="1:12" ht="14.1" customHeight="1">
      <c r="A20" s="1">
        <f t="shared" si="6"/>
        <v>18</v>
      </c>
      <c r="B20" s="38" t="s">
        <v>33</v>
      </c>
      <c r="C20" s="8">
        <v>760.16</v>
      </c>
      <c r="D20" s="15">
        <f t="shared" si="0"/>
        <v>760.16</v>
      </c>
      <c r="E20" s="9">
        <v>68.180000000000007</v>
      </c>
      <c r="F20" s="15">
        <f t="shared" si="1"/>
        <v>68.180000000000007</v>
      </c>
      <c r="G20" s="15">
        <f t="shared" si="2"/>
        <v>-691.98</v>
      </c>
      <c r="H20" s="16">
        <f t="shared" si="3"/>
        <v>-691.98</v>
      </c>
      <c r="I20" s="9"/>
      <c r="J20" s="16">
        <f t="shared" si="4"/>
        <v>0</v>
      </c>
      <c r="K20" s="8"/>
      <c r="L20" s="15">
        <f t="shared" si="5"/>
        <v>0</v>
      </c>
    </row>
    <row r="21" spans="1:12" ht="14.1" customHeight="1">
      <c r="A21" s="1">
        <f t="shared" si="6"/>
        <v>19</v>
      </c>
      <c r="B21" s="58" t="s">
        <v>41</v>
      </c>
      <c r="C21" s="8">
        <v>290.58999999999997</v>
      </c>
      <c r="D21" s="15">
        <f t="shared" si="0"/>
        <v>290.58999999999997</v>
      </c>
      <c r="E21" s="9">
        <v>292.54000000000002</v>
      </c>
      <c r="F21" s="15">
        <f t="shared" si="1"/>
        <v>292.54000000000002</v>
      </c>
      <c r="G21" s="15">
        <f t="shared" si="2"/>
        <v>1.9500000000000455</v>
      </c>
      <c r="H21" s="16">
        <f t="shared" si="3"/>
        <v>1.9500000000000455</v>
      </c>
      <c r="I21" s="9"/>
      <c r="J21" s="16">
        <f t="shared" si="4"/>
        <v>0</v>
      </c>
      <c r="K21" s="8"/>
      <c r="L21" s="15">
        <f t="shared" si="5"/>
        <v>0</v>
      </c>
    </row>
    <row r="22" spans="1:12" ht="14.1" customHeight="1">
      <c r="A22" s="1">
        <f t="shared" si="6"/>
        <v>20</v>
      </c>
      <c r="B22" s="38"/>
      <c r="C22" s="8"/>
      <c r="D22" s="15">
        <f t="shared" si="0"/>
        <v>0</v>
      </c>
      <c r="E22" s="9"/>
      <c r="F22" s="15">
        <f t="shared" si="1"/>
        <v>0</v>
      </c>
      <c r="G22" s="15">
        <f t="shared" si="2"/>
        <v>0</v>
      </c>
      <c r="H22" s="16">
        <f t="shared" si="3"/>
        <v>0</v>
      </c>
      <c r="I22" s="9"/>
      <c r="J22" s="16">
        <f t="shared" si="4"/>
        <v>0</v>
      </c>
      <c r="K22" s="8"/>
      <c r="L22" s="15">
        <f t="shared" si="5"/>
        <v>0</v>
      </c>
    </row>
    <row r="23" spans="1:12">
      <c r="A23" s="22"/>
      <c r="B23" s="21" t="s">
        <v>12</v>
      </c>
      <c r="C23" s="15">
        <f t="shared" ref="C23:L23" si="7">SUM(C3:C22)</f>
        <v>413051.22000000009</v>
      </c>
      <c r="D23" s="15">
        <f t="shared" si="7"/>
        <v>413051.22000000009</v>
      </c>
      <c r="E23" s="16">
        <f t="shared" si="7"/>
        <v>346620.17</v>
      </c>
      <c r="F23" s="15">
        <f t="shared" si="7"/>
        <v>346620.17</v>
      </c>
      <c r="G23" s="15">
        <f t="shared" si="7"/>
        <v>-66431.049999999988</v>
      </c>
      <c r="H23" s="16">
        <f t="shared" si="7"/>
        <v>-66431.049999999988</v>
      </c>
      <c r="I23" s="16">
        <f t="shared" si="7"/>
        <v>0</v>
      </c>
      <c r="J23" s="16">
        <f t="shared" si="7"/>
        <v>0</v>
      </c>
      <c r="K23" s="15">
        <f t="shared" si="7"/>
        <v>0</v>
      </c>
      <c r="L23" s="15">
        <f t="shared" si="7"/>
        <v>0</v>
      </c>
    </row>
    <row r="26" spans="1:12">
      <c r="B26" s="56" t="s">
        <v>35</v>
      </c>
      <c r="C26" s="57">
        <f>C9+C10+C11+C15+C17+C21</f>
        <v>62589.5</v>
      </c>
      <c r="D26" s="57">
        <f t="shared" ref="D26:J26" si="8">D9+D10+D11+D15+D17+D21</f>
        <v>62589.5</v>
      </c>
      <c r="E26" s="57">
        <f t="shared" si="8"/>
        <v>53053.110000000008</v>
      </c>
      <c r="F26" s="57">
        <f t="shared" si="8"/>
        <v>53053.110000000008</v>
      </c>
      <c r="G26" s="57">
        <f t="shared" si="8"/>
        <v>-9536.3900000000012</v>
      </c>
      <c r="H26" s="57">
        <f t="shared" si="8"/>
        <v>-9536.3900000000012</v>
      </c>
      <c r="I26" s="57">
        <f t="shared" si="8"/>
        <v>0</v>
      </c>
      <c r="J26" s="57">
        <f t="shared" si="8"/>
        <v>0</v>
      </c>
    </row>
    <row r="27" spans="1:12">
      <c r="B27" s="56" t="s">
        <v>38</v>
      </c>
      <c r="C27" s="57">
        <f>C8+C19</f>
        <v>40478.47</v>
      </c>
      <c r="D27" s="57">
        <f t="shared" ref="D27:J27" si="9">D8+D19</f>
        <v>40478.47</v>
      </c>
      <c r="E27" s="57">
        <f t="shared" si="9"/>
        <v>59223.61</v>
      </c>
      <c r="F27" s="57">
        <f t="shared" si="9"/>
        <v>59223.61</v>
      </c>
      <c r="G27" s="57">
        <f t="shared" si="9"/>
        <v>18745.139999999996</v>
      </c>
      <c r="H27" s="57">
        <f t="shared" si="9"/>
        <v>18745.139999999996</v>
      </c>
      <c r="I27" s="57">
        <f t="shared" si="9"/>
        <v>0</v>
      </c>
      <c r="J27" s="57">
        <f t="shared" si="9"/>
        <v>0</v>
      </c>
    </row>
    <row r="28" spans="1:12">
      <c r="B28" s="56" t="s">
        <v>39</v>
      </c>
      <c r="C28" s="57">
        <f>C4+C5+C20+C18</f>
        <v>230974.88</v>
      </c>
      <c r="D28" s="57">
        <f t="shared" ref="D28:J28" si="10">D4+D5+D20+D18</f>
        <v>230974.88</v>
      </c>
      <c r="E28" s="57">
        <f t="shared" si="10"/>
        <v>167623.07999999999</v>
      </c>
      <c r="F28" s="57">
        <f t="shared" si="10"/>
        <v>167623.07999999999</v>
      </c>
      <c r="G28" s="57">
        <f t="shared" si="10"/>
        <v>-63351.8</v>
      </c>
      <c r="H28" s="57">
        <f t="shared" si="10"/>
        <v>-63351.8</v>
      </c>
      <c r="I28" s="57">
        <f t="shared" si="10"/>
        <v>0</v>
      </c>
      <c r="J28" s="57">
        <f t="shared" si="10"/>
        <v>0</v>
      </c>
    </row>
    <row r="37" spans="7:10">
      <c r="G37">
        <v>35337.71</v>
      </c>
      <c r="H37">
        <v>30510.97</v>
      </c>
      <c r="I37">
        <v>47923.65</v>
      </c>
      <c r="J37">
        <v>30968.400000000001</v>
      </c>
    </row>
    <row r="38" spans="7:10">
      <c r="G38">
        <v>4460.24</v>
      </c>
      <c r="H38">
        <v>2771.25</v>
      </c>
      <c r="I38">
        <v>365127.57</v>
      </c>
      <c r="J38">
        <v>315651.77</v>
      </c>
    </row>
    <row r="39" spans="7:10">
      <c r="G39">
        <f>G37+G38</f>
        <v>39797.949999999997</v>
      </c>
      <c r="H39">
        <f>H37+H38</f>
        <v>33282.22</v>
      </c>
      <c r="I39">
        <f>I37+I38</f>
        <v>413051.22000000003</v>
      </c>
      <c r="J39">
        <f>J37+J38</f>
        <v>346620.17000000004</v>
      </c>
    </row>
  </sheetData>
  <phoneticPr fontId="0" type="noConversion"/>
  <pageMargins left="0.17" right="0.17" top="1" bottom="1" header="0.5" footer="0.5"/>
  <pageSetup paperSize="9" orientation="landscape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35"/>
  <sheetViews>
    <sheetView workbookViewId="0">
      <selection activeCell="C6" sqref="C6"/>
    </sheetView>
  </sheetViews>
  <sheetFormatPr defaultRowHeight="12.75"/>
  <cols>
    <col min="1" max="1" width="4.140625" customWidth="1"/>
    <col min="2" max="2" width="33.140625" customWidth="1"/>
    <col min="3" max="3" width="12.140625" customWidth="1"/>
    <col min="4" max="4" width="12.7109375" customWidth="1"/>
    <col min="5" max="5" width="13.140625" customWidth="1"/>
    <col min="6" max="6" width="11.5703125" customWidth="1"/>
    <col min="7" max="7" width="11.85546875" customWidth="1"/>
    <col min="8" max="8" width="11.140625" customWidth="1"/>
    <col min="9" max="9" width="10.140625" bestFit="1" customWidth="1"/>
    <col min="10" max="10" width="11.7109375" customWidth="1"/>
    <col min="11" max="11" width="10.28515625" customWidth="1"/>
    <col min="12" max="12" width="11.7109375" customWidth="1"/>
  </cols>
  <sheetData>
    <row r="1" spans="1:12">
      <c r="B1" s="11" t="s">
        <v>15</v>
      </c>
    </row>
    <row r="2" spans="1:12" s="30" customFormat="1" ht="25.5">
      <c r="A2" s="17" t="s">
        <v>0</v>
      </c>
      <c r="B2" s="25" t="s">
        <v>1</v>
      </c>
      <c r="C2" s="26" t="s">
        <v>2</v>
      </c>
      <c r="D2" s="27" t="s">
        <v>3</v>
      </c>
      <c r="E2" s="28" t="s">
        <v>4</v>
      </c>
      <c r="F2" s="27" t="s">
        <v>5</v>
      </c>
      <c r="G2" s="27" t="s">
        <v>6</v>
      </c>
      <c r="H2" s="29" t="s">
        <v>7</v>
      </c>
      <c r="I2" s="28" t="s">
        <v>8</v>
      </c>
      <c r="J2" s="29" t="s">
        <v>9</v>
      </c>
      <c r="K2" s="25" t="s">
        <v>10</v>
      </c>
      <c r="L2" s="27" t="s">
        <v>11</v>
      </c>
    </row>
    <row r="3" spans="1:12" ht="16.5" customHeight="1">
      <c r="A3" s="1">
        <v>1</v>
      </c>
      <c r="B3" s="38" t="str">
        <f>сентябрь!B3</f>
        <v>Содержание общ.имущ.дома</v>
      </c>
      <c r="C3" s="8">
        <f>38163.56+5198.28</f>
        <v>43361.84</v>
      </c>
      <c r="D3" s="15">
        <f>C3+сентябрь!D3</f>
        <v>374171.0199999999</v>
      </c>
      <c r="E3" s="8">
        <f>36846.53+4957.65</f>
        <v>41804.18</v>
      </c>
      <c r="F3" s="15">
        <f>E3+сентябрь!F3</f>
        <v>369900.29</v>
      </c>
      <c r="G3" s="15">
        <f>E3-C3</f>
        <v>-1557.6599999999962</v>
      </c>
      <c r="H3" s="16">
        <f>F3-D3</f>
        <v>-4270.7299999999232</v>
      </c>
      <c r="I3" s="9"/>
      <c r="J3" s="16">
        <f>I3+сентябрь!J3</f>
        <v>0</v>
      </c>
      <c r="K3" s="8"/>
      <c r="L3" s="15">
        <f>K3+сентябрь!L3</f>
        <v>0</v>
      </c>
    </row>
    <row r="4" spans="1:12">
      <c r="A4" s="1">
        <f>A3+1</f>
        <v>2</v>
      </c>
      <c r="B4" s="38" t="str">
        <f>сентябрь!B4</f>
        <v>Отопление</v>
      </c>
      <c r="C4" s="8">
        <f>48618.04+6622.29</f>
        <v>55240.33</v>
      </c>
      <c r="D4" s="15">
        <f>C4+сентябрь!D4</f>
        <v>576412.09</v>
      </c>
      <c r="E4" s="8">
        <f>6211.71+7.62</f>
        <v>6219.33</v>
      </c>
      <c r="F4" s="15">
        <f>E4+сентябрь!F4</f>
        <v>770535.84000000008</v>
      </c>
      <c r="G4" s="15">
        <f t="shared" ref="G4:H22" si="0">E4-C4</f>
        <v>-49021</v>
      </c>
      <c r="H4" s="16">
        <f t="shared" si="0"/>
        <v>194123.75000000012</v>
      </c>
      <c r="I4" s="9"/>
      <c r="J4" s="16">
        <f>I4+сентябрь!J4</f>
        <v>0</v>
      </c>
      <c r="K4" s="8"/>
      <c r="L4" s="15">
        <f>K4+сентябрь!L4</f>
        <v>0</v>
      </c>
    </row>
    <row r="5" spans="1:12" ht="13.5" customHeight="1">
      <c r="A5" s="1">
        <f t="shared" ref="A5:A22" si="1">A4+1</f>
        <v>3</v>
      </c>
      <c r="B5" s="38" t="str">
        <f>сентябрь!B5</f>
        <v>Горячее водоснабжение</v>
      </c>
      <c r="C5" s="8">
        <f>57081.96+8412.15</f>
        <v>65494.11</v>
      </c>
      <c r="D5" s="15">
        <f>C5+сентябрь!D5</f>
        <v>564180.16</v>
      </c>
      <c r="E5" s="8">
        <f>57064.04+8340.15</f>
        <v>65404.19</v>
      </c>
      <c r="F5" s="15">
        <f>E5+сентябрь!F5</f>
        <v>594047.05000000005</v>
      </c>
      <c r="G5" s="15">
        <f t="shared" si="0"/>
        <v>-89.919999999998254</v>
      </c>
      <c r="H5" s="16">
        <f t="shared" si="0"/>
        <v>29866.890000000014</v>
      </c>
      <c r="I5" s="9"/>
      <c r="J5" s="16">
        <f>I5+сентябрь!J5</f>
        <v>0</v>
      </c>
      <c r="K5" s="8"/>
      <c r="L5" s="15">
        <f>K5+сентябрь!L5</f>
        <v>0</v>
      </c>
    </row>
    <row r="6" spans="1:12">
      <c r="A6" s="1">
        <f t="shared" si="1"/>
        <v>4</v>
      </c>
      <c r="B6" s="38" t="str">
        <f>сентябрь!B6</f>
        <v>Газ</v>
      </c>
      <c r="C6" s="8">
        <f t="shared" ref="C6:E6" si="2">0+0</f>
        <v>0</v>
      </c>
      <c r="D6" s="15">
        <f>C6+сентябрь!D6</f>
        <v>-87.84</v>
      </c>
      <c r="E6" s="8">
        <f t="shared" si="2"/>
        <v>0</v>
      </c>
      <c r="F6" s="15">
        <f>E6+сентябрь!F6</f>
        <v>0</v>
      </c>
      <c r="G6" s="15">
        <f t="shared" si="0"/>
        <v>0</v>
      </c>
      <c r="H6" s="16">
        <f t="shared" si="0"/>
        <v>87.84</v>
      </c>
      <c r="I6" s="9"/>
      <c r="J6" s="16">
        <f>I6+сентябрь!J6</f>
        <v>0</v>
      </c>
      <c r="K6" s="8"/>
      <c r="L6" s="15">
        <f>K6+сентябрь!L6</f>
        <v>0</v>
      </c>
    </row>
    <row r="7" spans="1:12" ht="14.25" customHeight="1">
      <c r="A7" s="1">
        <f t="shared" si="1"/>
        <v>5</v>
      </c>
      <c r="B7" s="38" t="str">
        <f>сентябрь!B7</f>
        <v>Уборка и сан.очистка зем.участка</v>
      </c>
      <c r="C7" s="8">
        <f>5868.86+799.39</f>
        <v>6668.25</v>
      </c>
      <c r="D7" s="15">
        <f>C7+сентябрь!D7</f>
        <v>54207.08</v>
      </c>
      <c r="E7" s="8">
        <f>5649.56+762.36</f>
        <v>6411.92</v>
      </c>
      <c r="F7" s="15">
        <f>E7+сентябрь!F7</f>
        <v>53082.490000000005</v>
      </c>
      <c r="G7" s="15">
        <f t="shared" si="0"/>
        <v>-256.32999999999993</v>
      </c>
      <c r="H7" s="16">
        <f t="shared" si="0"/>
        <v>-1124.5899999999965</v>
      </c>
      <c r="I7" s="9"/>
      <c r="J7" s="16">
        <f>I7+сентябрь!J7</f>
        <v>0</v>
      </c>
      <c r="K7" s="8"/>
      <c r="L7" s="15">
        <f>K7+сентябрь!L7</f>
        <v>0</v>
      </c>
    </row>
    <row r="8" spans="1:12" ht="12.75" customHeight="1">
      <c r="A8" s="1">
        <f t="shared" si="1"/>
        <v>6</v>
      </c>
      <c r="B8" s="38" t="str">
        <f>сентябрь!B8</f>
        <v>Электроснабжение(инд.потребление)</v>
      </c>
      <c r="C8" s="8">
        <f>37580.29+5162.4</f>
        <v>42742.69</v>
      </c>
      <c r="D8" s="15">
        <f>C8+сентябрь!D8</f>
        <v>351552.23</v>
      </c>
      <c r="E8" s="8">
        <f>36379.56+5002.23</f>
        <v>41381.789999999994</v>
      </c>
      <c r="F8" s="15">
        <f>E8+сентябрь!F8</f>
        <v>377510.58999999997</v>
      </c>
      <c r="G8" s="15">
        <f t="shared" si="0"/>
        <v>-1360.9000000000087</v>
      </c>
      <c r="H8" s="16">
        <f t="shared" si="0"/>
        <v>25958.359999999986</v>
      </c>
      <c r="I8" s="9"/>
      <c r="J8" s="16">
        <f>I8+сентябрь!J8</f>
        <v>0</v>
      </c>
      <c r="K8" s="8"/>
      <c r="L8" s="15">
        <f>K8+сентябрь!L8</f>
        <v>0</v>
      </c>
    </row>
    <row r="9" spans="1:12">
      <c r="A9" s="1">
        <f t="shared" si="1"/>
        <v>7</v>
      </c>
      <c r="B9" s="38" t="str">
        <f>сентябрь!B9</f>
        <v>Холодная вода</v>
      </c>
      <c r="C9" s="8">
        <f>22367.1+3291.6</f>
        <v>25658.699999999997</v>
      </c>
      <c r="D9" s="15">
        <f>C9+сентябрь!D9</f>
        <v>213481.2</v>
      </c>
      <c r="E9" s="8">
        <f>22287.88+3263.43</f>
        <v>25551.31</v>
      </c>
      <c r="F9" s="15">
        <f>E9+сентябрь!F9</f>
        <v>223836.18</v>
      </c>
      <c r="G9" s="15">
        <f t="shared" si="0"/>
        <v>-107.38999999999578</v>
      </c>
      <c r="H9" s="16">
        <f t="shared" si="0"/>
        <v>10354.979999999981</v>
      </c>
      <c r="I9" s="9"/>
      <c r="J9" s="16">
        <f>I9+сентябрь!J9</f>
        <v>0</v>
      </c>
      <c r="K9" s="8"/>
      <c r="L9" s="15">
        <f>K9+сентябрь!L9</f>
        <v>0</v>
      </c>
    </row>
    <row r="10" spans="1:12">
      <c r="A10" s="1">
        <f t="shared" si="1"/>
        <v>8</v>
      </c>
      <c r="B10" s="38" t="str">
        <f>сентябрь!B10</f>
        <v>Канализир.х.воды</v>
      </c>
      <c r="C10" s="8">
        <f t="shared" ref="C10:E11" si="3">0+0</f>
        <v>0</v>
      </c>
      <c r="D10" s="15">
        <f>C10+сентябрь!D10</f>
        <v>0</v>
      </c>
      <c r="E10" s="8">
        <f t="shared" si="3"/>
        <v>0</v>
      </c>
      <c r="F10" s="15">
        <f>E10+сентябрь!F10</f>
        <v>114.22</v>
      </c>
      <c r="G10" s="15">
        <f t="shared" si="0"/>
        <v>0</v>
      </c>
      <c r="H10" s="16">
        <f t="shared" si="0"/>
        <v>114.22</v>
      </c>
      <c r="I10" s="9"/>
      <c r="J10" s="16">
        <f>I10+сентябрь!J10</f>
        <v>0</v>
      </c>
      <c r="K10" s="8"/>
      <c r="L10" s="15">
        <f>K10+сентябрь!L10</f>
        <v>0</v>
      </c>
    </row>
    <row r="11" spans="1:12">
      <c r="A11" s="1">
        <f t="shared" si="1"/>
        <v>9</v>
      </c>
      <c r="B11" s="38" t="str">
        <f>сентябрь!B11</f>
        <v>Канализир.г.воды</v>
      </c>
      <c r="C11" s="8">
        <f t="shared" si="3"/>
        <v>0</v>
      </c>
      <c r="D11" s="15">
        <f>C11+сентябрь!D11</f>
        <v>0</v>
      </c>
      <c r="E11" s="8">
        <f t="shared" si="3"/>
        <v>0</v>
      </c>
      <c r="F11" s="15">
        <f>E11+сентябрь!F11</f>
        <v>76.009999999999991</v>
      </c>
      <c r="G11" s="15">
        <f t="shared" si="0"/>
        <v>0</v>
      </c>
      <c r="H11" s="16">
        <f t="shared" si="0"/>
        <v>76.009999999999991</v>
      </c>
      <c r="I11" s="9"/>
      <c r="J11" s="16">
        <f>I11+сентябрь!J11</f>
        <v>0</v>
      </c>
      <c r="K11" s="8"/>
      <c r="L11" s="15">
        <f>K11+сентябрь!L11</f>
        <v>0</v>
      </c>
    </row>
    <row r="12" spans="1:12" ht="12" customHeight="1">
      <c r="A12" s="1">
        <f t="shared" si="1"/>
        <v>10</v>
      </c>
      <c r="B12" s="38" t="str">
        <f>сентябрь!B12</f>
        <v>Тек.рем.общ.имущ.дома</v>
      </c>
      <c r="C12" s="8">
        <f>19915.66+2712.72</f>
        <v>22628.38</v>
      </c>
      <c r="D12" s="15">
        <f>C12+сентябрь!D12</f>
        <v>196303.45</v>
      </c>
      <c r="E12" s="8">
        <f>19250.27+2587.15</f>
        <v>21837.420000000002</v>
      </c>
      <c r="F12" s="15">
        <f>E12+сентябрь!F12</f>
        <v>194993.56000000003</v>
      </c>
      <c r="G12" s="15">
        <f t="shared" si="0"/>
        <v>-790.95999999999913</v>
      </c>
      <c r="H12" s="16">
        <f t="shared" si="0"/>
        <v>-1309.8899999999849</v>
      </c>
      <c r="I12" s="9"/>
      <c r="J12" s="16">
        <f>I12+сентябрь!J12</f>
        <v>0</v>
      </c>
      <c r="K12" s="8"/>
      <c r="L12" s="15">
        <f>K12+сентябрь!L12</f>
        <v>0</v>
      </c>
    </row>
    <row r="13" spans="1:12" ht="12.75" customHeight="1">
      <c r="A13" s="1">
        <f t="shared" si="1"/>
        <v>11</v>
      </c>
      <c r="B13" s="38" t="str">
        <f>сентябрь!B13</f>
        <v>Сод.и тек.рем.в/дом.газос.</v>
      </c>
      <c r="C13" s="8">
        <f>2180.78+297.04</f>
        <v>2477.8200000000002</v>
      </c>
      <c r="D13" s="15">
        <f>C13+сентябрь!D13</f>
        <v>21686.16</v>
      </c>
      <c r="E13" s="8">
        <f>2109.16+283.28</f>
        <v>2392.4399999999996</v>
      </c>
      <c r="F13" s="15">
        <f>E13+сентябрь!F13</f>
        <v>21578.51</v>
      </c>
      <c r="G13" s="15">
        <f t="shared" si="0"/>
        <v>-85.380000000000564</v>
      </c>
      <c r="H13" s="16">
        <f t="shared" si="0"/>
        <v>-107.65000000000146</v>
      </c>
      <c r="I13" s="9"/>
      <c r="J13" s="16">
        <f>I13+сентябрь!J13</f>
        <v>0</v>
      </c>
      <c r="K13" s="8"/>
      <c r="L13" s="15">
        <f>K13+сентябрь!L13</f>
        <v>0</v>
      </c>
    </row>
    <row r="14" spans="1:12" ht="15.75" customHeight="1">
      <c r="A14" s="1">
        <f t="shared" si="1"/>
        <v>12</v>
      </c>
      <c r="B14" s="38" t="str">
        <f>сентябрь!B14</f>
        <v>Управление многокварт.</v>
      </c>
      <c r="C14" s="8">
        <f>8242+1122.66</f>
        <v>9364.66</v>
      </c>
      <c r="D14" s="15">
        <f>C14+сентябрь!D14</f>
        <v>78941.27</v>
      </c>
      <c r="E14" s="8">
        <f>7948.66+1070.7</f>
        <v>9019.36</v>
      </c>
      <c r="F14" s="15">
        <f>E14+сентябрь!F14</f>
        <v>77637.8</v>
      </c>
      <c r="G14" s="15">
        <f t="shared" si="0"/>
        <v>-345.29999999999927</v>
      </c>
      <c r="H14" s="16">
        <f t="shared" si="0"/>
        <v>-1303.4700000000012</v>
      </c>
      <c r="I14" s="9"/>
      <c r="J14" s="16">
        <f>I14+сентябрь!J14</f>
        <v>0</v>
      </c>
      <c r="K14" s="8"/>
      <c r="L14" s="15">
        <f>K14+сентябрь!L14</f>
        <v>0</v>
      </c>
    </row>
    <row r="15" spans="1:12">
      <c r="A15" s="1">
        <f t="shared" si="1"/>
        <v>13</v>
      </c>
      <c r="B15" s="38" t="str">
        <f>сентябрь!B15</f>
        <v>Водоотведение(кв)</v>
      </c>
      <c r="C15" s="8">
        <f>38252.64+5629.35</f>
        <v>43881.99</v>
      </c>
      <c r="D15" s="15">
        <f>C15+сентябрь!D15</f>
        <v>363345.77</v>
      </c>
      <c r="E15" s="8">
        <f>38122.91+5581.16</f>
        <v>43704.070000000007</v>
      </c>
      <c r="F15" s="15">
        <f>E15+сентябрь!F15</f>
        <v>383249.12000000005</v>
      </c>
      <c r="G15" s="15">
        <f t="shared" si="0"/>
        <v>-177.91999999999098</v>
      </c>
      <c r="H15" s="16">
        <f t="shared" si="0"/>
        <v>19903.350000000035</v>
      </c>
      <c r="I15" s="9"/>
      <c r="J15" s="16">
        <f>I15+сентябрь!J15</f>
        <v>0</v>
      </c>
      <c r="K15" s="8"/>
      <c r="L15" s="15">
        <f>K15+сентябрь!L15</f>
        <v>0</v>
      </c>
    </row>
    <row r="16" spans="1:12">
      <c r="A16" s="1">
        <f t="shared" si="1"/>
        <v>14</v>
      </c>
      <c r="B16" s="38" t="str">
        <f>сентябрь!B16</f>
        <v>Эксплуатация общ.ПУ</v>
      </c>
      <c r="C16" s="8">
        <f>2116.62+288.31</f>
        <v>2404.9299999999998</v>
      </c>
      <c r="D16" s="15">
        <f>C16+сентябрь!D16</f>
        <v>20850.54</v>
      </c>
      <c r="E16" s="8">
        <f>2045.81+274.96</f>
        <v>2320.77</v>
      </c>
      <c r="F16" s="15">
        <f>E16+сентябрь!F16</f>
        <v>20722.560000000001</v>
      </c>
      <c r="G16" s="15">
        <f t="shared" si="0"/>
        <v>-84.159999999999854</v>
      </c>
      <c r="H16" s="16">
        <f t="shared" si="0"/>
        <v>-127.97999999999956</v>
      </c>
      <c r="I16" s="9"/>
      <c r="J16" s="16">
        <f>I16+сентябрь!J16</f>
        <v>0</v>
      </c>
      <c r="K16" s="8"/>
      <c r="L16" s="15">
        <f>K16+сентябрь!L16</f>
        <v>0</v>
      </c>
    </row>
    <row r="17" spans="1:12" ht="15" customHeight="1">
      <c r="A17" s="1">
        <f t="shared" si="1"/>
        <v>15</v>
      </c>
      <c r="B17" s="38" t="str">
        <f>сентябрь!B17</f>
        <v>Водоотведение(о/д нужд)</v>
      </c>
      <c r="C17" s="8">
        <f t="shared" ref="C17:E18" si="4">0+0</f>
        <v>0</v>
      </c>
      <c r="D17" s="15">
        <f>C17+сентябрь!D17</f>
        <v>0</v>
      </c>
      <c r="E17" s="8">
        <f t="shared" si="4"/>
        <v>0</v>
      </c>
      <c r="F17" s="15">
        <f>E17+сентябрь!F17</f>
        <v>0</v>
      </c>
      <c r="G17" s="15">
        <f t="shared" si="0"/>
        <v>0</v>
      </c>
      <c r="H17" s="16">
        <f t="shared" si="0"/>
        <v>0</v>
      </c>
      <c r="I17" s="9"/>
      <c r="J17" s="16">
        <f>I17+сентябрь!J17</f>
        <v>0</v>
      </c>
      <c r="K17" s="8"/>
      <c r="L17" s="15">
        <f>K17+сентябрь!L17</f>
        <v>0</v>
      </c>
    </row>
    <row r="18" spans="1:12">
      <c r="A18" s="1">
        <f t="shared" si="1"/>
        <v>16</v>
      </c>
      <c r="B18" s="38" t="str">
        <f>сентябрь!B18</f>
        <v>Отопление(о/д нужд)</v>
      </c>
      <c r="C18" s="8">
        <f t="shared" si="4"/>
        <v>0</v>
      </c>
      <c r="D18" s="15">
        <f>C18+сентябрь!D18</f>
        <v>0</v>
      </c>
      <c r="E18" s="8">
        <f t="shared" si="4"/>
        <v>0</v>
      </c>
      <c r="F18" s="15">
        <f>E18+сентябрь!F18</f>
        <v>29.72</v>
      </c>
      <c r="G18" s="15">
        <f t="shared" si="0"/>
        <v>0</v>
      </c>
      <c r="H18" s="16">
        <f t="shared" si="0"/>
        <v>29.72</v>
      </c>
      <c r="I18" s="9"/>
      <c r="J18" s="16">
        <f>I18+сентябрь!J18</f>
        <v>0</v>
      </c>
      <c r="K18" s="8"/>
      <c r="L18" s="15">
        <f>K18+сентябрь!L18</f>
        <v>0</v>
      </c>
    </row>
    <row r="19" spans="1:12" ht="14.25" customHeight="1">
      <c r="A19" s="1">
        <f t="shared" si="1"/>
        <v>17</v>
      </c>
      <c r="B19" s="38" t="str">
        <f>сентябрь!B19</f>
        <v>Электроснабжение(общед.нужды)</v>
      </c>
      <c r="C19" s="8">
        <f>18033.74+2456.39</f>
        <v>20490.13</v>
      </c>
      <c r="D19" s="15">
        <f>C19+сентябрь!D19</f>
        <v>227373.52</v>
      </c>
      <c r="E19" s="8">
        <f>22856.37+3895.28</f>
        <v>26751.649999999998</v>
      </c>
      <c r="F19" s="15">
        <f>E19+сентябрь!F19</f>
        <v>232722.18</v>
      </c>
      <c r="G19" s="15">
        <f t="shared" si="0"/>
        <v>6261.5199999999968</v>
      </c>
      <c r="H19" s="16">
        <f t="shared" si="0"/>
        <v>5348.6600000000035</v>
      </c>
      <c r="I19" s="9"/>
      <c r="J19" s="16">
        <f>I19+сентябрь!J19</f>
        <v>0</v>
      </c>
      <c r="K19" s="8"/>
      <c r="L19" s="15">
        <f>K19+сентябрь!L19</f>
        <v>0</v>
      </c>
    </row>
    <row r="20" spans="1:12" ht="17.25" customHeight="1">
      <c r="A20" s="1">
        <f t="shared" si="1"/>
        <v>18</v>
      </c>
      <c r="B20" s="38" t="str">
        <f>сентябрь!B20</f>
        <v>Горячее водоснабж.(о/д нужды)</v>
      </c>
      <c r="C20" s="8">
        <f>1065.43+147.02</f>
        <v>1212.45</v>
      </c>
      <c r="D20" s="15">
        <f>C20+сентябрь!D20</f>
        <v>9072.42</v>
      </c>
      <c r="E20" s="8">
        <f>1019.63+140.95</f>
        <v>1160.58</v>
      </c>
      <c r="F20" s="15">
        <f>E20+сентябрь!F20</f>
        <v>8199.7099999999991</v>
      </c>
      <c r="G20" s="15">
        <f t="shared" si="0"/>
        <v>-51.870000000000118</v>
      </c>
      <c r="H20" s="16">
        <f t="shared" si="0"/>
        <v>-872.71000000000095</v>
      </c>
      <c r="I20" s="9"/>
      <c r="J20" s="16">
        <f>I20+сентябрь!J20</f>
        <v>0</v>
      </c>
      <c r="K20" s="8"/>
      <c r="L20" s="15">
        <f>K20+сентябрь!L20</f>
        <v>0</v>
      </c>
    </row>
    <row r="21" spans="1:12" ht="12.75" customHeight="1">
      <c r="A21" s="1">
        <f t="shared" si="1"/>
        <v>19</v>
      </c>
      <c r="B21" s="58" t="s">
        <v>40</v>
      </c>
      <c r="C21" s="8">
        <f>429.8+59.92</f>
        <v>489.72</v>
      </c>
      <c r="D21" s="15">
        <f>C21+сентябрь!D21</f>
        <v>3570.4500000000007</v>
      </c>
      <c r="E21" s="8">
        <f>478.37+57.25</f>
        <v>535.62</v>
      </c>
      <c r="F21" s="15">
        <f>E21+сентябрь!F21</f>
        <v>4091.1</v>
      </c>
      <c r="G21" s="15">
        <f t="shared" si="0"/>
        <v>45.899999999999977</v>
      </c>
      <c r="H21" s="16">
        <f t="shared" si="0"/>
        <v>520.64999999999918</v>
      </c>
      <c r="I21" s="9"/>
      <c r="J21" s="16">
        <f>I21+сентябрь!J21</f>
        <v>0</v>
      </c>
      <c r="K21" s="8"/>
      <c r="L21" s="15">
        <f>K21+сентябрь!L21</f>
        <v>0</v>
      </c>
    </row>
    <row r="22" spans="1:12">
      <c r="A22" s="1">
        <f t="shared" si="1"/>
        <v>20</v>
      </c>
      <c r="B22" s="38">
        <f>сентябрь!B22</f>
        <v>0</v>
      </c>
      <c r="C22" s="8">
        <f t="shared" ref="C22:E22" si="5">0+0</f>
        <v>0</v>
      </c>
      <c r="D22" s="15">
        <f>C22+сентябрь!D22</f>
        <v>0</v>
      </c>
      <c r="E22" s="8">
        <f t="shared" si="5"/>
        <v>0</v>
      </c>
      <c r="F22" s="15">
        <f>E22+сентябрь!F22</f>
        <v>0</v>
      </c>
      <c r="G22" s="15">
        <f t="shared" si="0"/>
        <v>0</v>
      </c>
      <c r="H22" s="16">
        <f t="shared" si="0"/>
        <v>0</v>
      </c>
      <c r="I22" s="9"/>
      <c r="J22" s="16">
        <f>I22+сентябрь!J22</f>
        <v>0</v>
      </c>
      <c r="K22" s="8"/>
      <c r="L22" s="15">
        <f>K22+сентябрь!L22</f>
        <v>0</v>
      </c>
    </row>
    <row r="23" spans="1:12">
      <c r="A23" s="22"/>
      <c r="B23" s="21" t="s">
        <v>12</v>
      </c>
      <c r="C23" s="15">
        <f t="shared" ref="C23:L23" si="6">SUM(C3:C22)</f>
        <v>342115.99999999994</v>
      </c>
      <c r="D23" s="15">
        <f t="shared" si="6"/>
        <v>3055059.5200000005</v>
      </c>
      <c r="E23" s="16">
        <f t="shared" si="6"/>
        <v>294494.63000000006</v>
      </c>
      <c r="F23" s="15">
        <f t="shared" si="6"/>
        <v>3332326.9300000006</v>
      </c>
      <c r="G23" s="15">
        <f t="shared" si="6"/>
        <v>-47621.369999999988</v>
      </c>
      <c r="H23" s="16">
        <f t="shared" si="6"/>
        <v>277267.41000000021</v>
      </c>
      <c r="I23" s="16">
        <f t="shared" si="6"/>
        <v>0</v>
      </c>
      <c r="J23" s="16">
        <f t="shared" si="6"/>
        <v>0</v>
      </c>
      <c r="K23" s="15">
        <f t="shared" si="6"/>
        <v>0</v>
      </c>
      <c r="L23" s="15">
        <f t="shared" si="6"/>
        <v>0</v>
      </c>
    </row>
    <row r="24" spans="1:12">
      <c r="B24" s="1" t="s">
        <v>35</v>
      </c>
      <c r="C24" s="9">
        <f>C9+C10+C11+C15+C17+C21</f>
        <v>70030.41</v>
      </c>
      <c r="D24" s="9">
        <f t="shared" ref="D24:J24" si="7">D9+D10+D11+D15+D17+D21</f>
        <v>580397.41999999993</v>
      </c>
      <c r="E24" s="9">
        <f t="shared" si="7"/>
        <v>69791</v>
      </c>
      <c r="F24" s="9">
        <f t="shared" si="7"/>
        <v>611366.63</v>
      </c>
      <c r="G24" s="9">
        <f t="shared" si="7"/>
        <v>-239.40999999998678</v>
      </c>
      <c r="H24" s="9">
        <f t="shared" si="7"/>
        <v>30969.210000000014</v>
      </c>
      <c r="I24" s="9">
        <f t="shared" si="7"/>
        <v>0</v>
      </c>
      <c r="J24" s="9">
        <f t="shared" si="7"/>
        <v>0</v>
      </c>
    </row>
    <row r="25" spans="1:12">
      <c r="B25" s="1" t="s">
        <v>38</v>
      </c>
      <c r="C25" s="9">
        <f>C8+C19</f>
        <v>63232.820000000007</v>
      </c>
      <c r="D25" s="9">
        <f t="shared" ref="D25:J25" si="8">D8+D19</f>
        <v>578925.75</v>
      </c>
      <c r="E25" s="9">
        <f t="shared" si="8"/>
        <v>68133.439999999988</v>
      </c>
      <c r="F25" s="9">
        <f t="shared" si="8"/>
        <v>610232.77</v>
      </c>
      <c r="G25" s="9">
        <f t="shared" si="8"/>
        <v>4900.6199999999881</v>
      </c>
      <c r="H25" s="9">
        <f t="shared" si="8"/>
        <v>31307.01999999999</v>
      </c>
      <c r="I25" s="9">
        <f t="shared" si="8"/>
        <v>0</v>
      </c>
      <c r="J25" s="9">
        <f t="shared" si="8"/>
        <v>0</v>
      </c>
    </row>
    <row r="26" spans="1:12">
      <c r="B26" s="1" t="s">
        <v>39</v>
      </c>
      <c r="C26" s="9">
        <f>C4+C5+C18+C20</f>
        <v>121946.89</v>
      </c>
      <c r="D26" s="9">
        <f t="shared" ref="D26:J26" si="9">D4+D5+D18+D20</f>
        <v>1149664.67</v>
      </c>
      <c r="E26" s="9">
        <f t="shared" si="9"/>
        <v>72784.100000000006</v>
      </c>
      <c r="F26" s="9">
        <f t="shared" si="9"/>
        <v>1372812.32</v>
      </c>
      <c r="G26" s="9">
        <f t="shared" si="9"/>
        <v>-49162.79</v>
      </c>
      <c r="H26" s="9">
        <f t="shared" si="9"/>
        <v>223147.65000000014</v>
      </c>
      <c r="I26" s="9">
        <f t="shared" si="9"/>
        <v>0</v>
      </c>
      <c r="J26" s="9">
        <f t="shared" si="9"/>
        <v>0</v>
      </c>
    </row>
    <row r="29" spans="1:12">
      <c r="D29" s="65">
        <v>299916.48</v>
      </c>
      <c r="E29" s="65">
        <v>258270.46</v>
      </c>
    </row>
    <row r="30" spans="1:12">
      <c r="D30" s="65">
        <v>42199.519999999997</v>
      </c>
      <c r="E30" s="65">
        <v>36224.17</v>
      </c>
    </row>
    <row r="31" spans="1:12">
      <c r="D31" s="66">
        <f>D29+D30</f>
        <v>342116</v>
      </c>
      <c r="E31" s="66">
        <f>E29+E30</f>
        <v>294494.63</v>
      </c>
    </row>
    <row r="35" spans="6:6">
      <c r="F35" s="67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1"/>
  <sheetViews>
    <sheetView workbookViewId="0">
      <selection activeCell="C17" sqref="C17:C18"/>
    </sheetView>
  </sheetViews>
  <sheetFormatPr defaultRowHeight="12.75"/>
  <cols>
    <col min="1" max="1" width="4.140625" customWidth="1"/>
    <col min="2" max="2" width="33.140625" customWidth="1"/>
    <col min="3" max="3" width="12" customWidth="1"/>
    <col min="4" max="4" width="12.28515625" style="14" customWidth="1"/>
    <col min="5" max="5" width="11.140625" customWidth="1"/>
    <col min="6" max="6" width="11.28515625" style="14" customWidth="1"/>
    <col min="7" max="7" width="11.85546875" style="14" customWidth="1"/>
    <col min="8" max="8" width="11.28515625" style="14" customWidth="1"/>
    <col min="9" max="9" width="10.140625" bestFit="1" customWidth="1"/>
    <col min="10" max="10" width="12.28515625" style="14" customWidth="1"/>
    <col min="11" max="11" width="10.140625" style="14" bestFit="1" customWidth="1"/>
    <col min="12" max="12" width="12" style="14" customWidth="1"/>
  </cols>
  <sheetData>
    <row r="1" spans="1:12">
      <c r="B1" s="11" t="s">
        <v>15</v>
      </c>
      <c r="C1" s="11" t="s">
        <v>42</v>
      </c>
    </row>
    <row r="2" spans="1:12" s="30" customFormat="1" ht="38.25">
      <c r="A2" s="17" t="s">
        <v>0</v>
      </c>
      <c r="B2" s="25" t="s">
        <v>1</v>
      </c>
      <c r="C2" s="26" t="s">
        <v>2</v>
      </c>
      <c r="D2" s="27" t="s">
        <v>3</v>
      </c>
      <c r="E2" s="28" t="s">
        <v>4</v>
      </c>
      <c r="F2" s="27" t="s">
        <v>5</v>
      </c>
      <c r="G2" s="27" t="s">
        <v>6</v>
      </c>
      <c r="H2" s="29" t="s">
        <v>7</v>
      </c>
      <c r="I2" s="28" t="s">
        <v>8</v>
      </c>
      <c r="J2" s="29" t="s">
        <v>9</v>
      </c>
      <c r="K2" s="37" t="s">
        <v>10</v>
      </c>
      <c r="L2" s="27" t="s">
        <v>11</v>
      </c>
    </row>
    <row r="3" spans="1:12" ht="19.5" customHeight="1">
      <c r="A3" s="1">
        <v>1</v>
      </c>
      <c r="B3" s="38" t="str">
        <f>октябрь!B3</f>
        <v>Содержание общ.имущ.дома</v>
      </c>
      <c r="C3" s="8">
        <f>38163.56+5198.28</f>
        <v>43361.84</v>
      </c>
      <c r="D3" s="15">
        <f>C3+октябрь!D3</f>
        <v>417532.85999999987</v>
      </c>
      <c r="E3" s="9">
        <f>38645.64+4097.43</f>
        <v>42743.07</v>
      </c>
      <c r="F3" s="15">
        <f>E3+октябрь!F3</f>
        <v>412643.36</v>
      </c>
      <c r="G3" s="15">
        <f>E3-C3</f>
        <v>-618.7699999999968</v>
      </c>
      <c r="H3" s="16">
        <f>F3-D3</f>
        <v>-4889.4999999998836</v>
      </c>
      <c r="I3" s="9"/>
      <c r="J3" s="16">
        <f>I3+октябрь!J3</f>
        <v>0</v>
      </c>
      <c r="K3" s="13"/>
      <c r="L3" s="15">
        <f>K3+октябрь!L3</f>
        <v>0</v>
      </c>
    </row>
    <row r="4" spans="1:12">
      <c r="A4" s="1">
        <f>A3+1</f>
        <v>2</v>
      </c>
      <c r="B4" s="38" t="str">
        <f>октябрь!B4</f>
        <v>Отопление</v>
      </c>
      <c r="C4" s="8">
        <f>115822.77+15912.49</f>
        <v>131735.26</v>
      </c>
      <c r="D4" s="15">
        <f>C4+октябрь!D4</f>
        <v>708147.35</v>
      </c>
      <c r="E4" s="9">
        <f>44204.6+5636.6</f>
        <v>49841.2</v>
      </c>
      <c r="F4" s="15">
        <f>E4+октябрь!F4</f>
        <v>820377.04</v>
      </c>
      <c r="G4" s="15">
        <f t="shared" ref="G4:H22" si="0">E4-C4</f>
        <v>-81894.060000000012</v>
      </c>
      <c r="H4" s="16">
        <f t="shared" si="0"/>
        <v>112229.69000000006</v>
      </c>
      <c r="I4" s="9"/>
      <c r="J4" s="16">
        <f>I4+октябрь!J4</f>
        <v>0</v>
      </c>
      <c r="K4" s="13"/>
      <c r="L4" s="15">
        <f>K4+октябрь!L4</f>
        <v>0</v>
      </c>
    </row>
    <row r="5" spans="1:12" ht="18" customHeight="1">
      <c r="A5" s="1">
        <f t="shared" ref="A5:A22" si="1">A4+1</f>
        <v>3</v>
      </c>
      <c r="B5" s="38" t="str">
        <f>октябрь!B5</f>
        <v>Горячее водоснабжение</v>
      </c>
      <c r="C5" s="8">
        <f>55427.4+8412.15</f>
        <v>63839.55</v>
      </c>
      <c r="D5" s="15">
        <f>C5+октябрь!D5</f>
        <v>628019.71000000008</v>
      </c>
      <c r="E5" s="9">
        <f>61114.23+7354.42</f>
        <v>68468.650000000009</v>
      </c>
      <c r="F5" s="15">
        <f>E5+октябрь!F5</f>
        <v>662515.70000000007</v>
      </c>
      <c r="G5" s="15">
        <f t="shared" si="0"/>
        <v>4629.1000000000058</v>
      </c>
      <c r="H5" s="16">
        <f t="shared" si="0"/>
        <v>34495.989999999991</v>
      </c>
      <c r="I5" s="9"/>
      <c r="J5" s="16">
        <f>I5+октябрь!J5</f>
        <v>0</v>
      </c>
      <c r="K5" s="13"/>
      <c r="L5" s="15">
        <f>K5+октябрь!L5</f>
        <v>0</v>
      </c>
    </row>
    <row r="6" spans="1:12">
      <c r="A6" s="1">
        <f t="shared" si="1"/>
        <v>4</v>
      </c>
      <c r="B6" s="38" t="str">
        <f>октябрь!B6</f>
        <v>Газ</v>
      </c>
      <c r="C6" s="8">
        <f t="shared" ref="C6:E6" si="2">0+0</f>
        <v>0</v>
      </c>
      <c r="D6" s="15">
        <f>C6+октябрь!D6</f>
        <v>-87.84</v>
      </c>
      <c r="E6" s="8">
        <f t="shared" si="2"/>
        <v>0</v>
      </c>
      <c r="F6" s="15">
        <f>E6+октябрь!F6</f>
        <v>0</v>
      </c>
      <c r="G6" s="15">
        <f t="shared" si="0"/>
        <v>0</v>
      </c>
      <c r="H6" s="16">
        <f t="shared" si="0"/>
        <v>87.84</v>
      </c>
      <c r="I6" s="9"/>
      <c r="J6" s="16">
        <f>I6+октябрь!J6</f>
        <v>0</v>
      </c>
      <c r="K6" s="13"/>
      <c r="L6" s="15">
        <f>K6+октябрь!L6</f>
        <v>0</v>
      </c>
    </row>
    <row r="7" spans="1:12" ht="17.25" customHeight="1">
      <c r="A7" s="1">
        <f t="shared" si="1"/>
        <v>5</v>
      </c>
      <c r="B7" s="38" t="str">
        <f>октябрь!B7</f>
        <v>Уборка и сан.очистка зем.участка</v>
      </c>
      <c r="C7" s="8">
        <f>5868.86+799.39</f>
        <v>6668.25</v>
      </c>
      <c r="D7" s="15">
        <f>C7+октябрь!D7</f>
        <v>60875.33</v>
      </c>
      <c r="E7" s="9">
        <f>5893.97+622.15</f>
        <v>6516.12</v>
      </c>
      <c r="F7" s="15">
        <f>E7+октябрь!F7</f>
        <v>59598.610000000008</v>
      </c>
      <c r="G7" s="15">
        <f t="shared" si="0"/>
        <v>-152.13000000000011</v>
      </c>
      <c r="H7" s="16">
        <f t="shared" si="0"/>
        <v>-1276.7199999999939</v>
      </c>
      <c r="I7" s="9"/>
      <c r="J7" s="16">
        <f>I7+октябрь!J7</f>
        <v>0</v>
      </c>
      <c r="K7" s="13"/>
      <c r="L7" s="15">
        <f>K7+октябрь!L7</f>
        <v>0</v>
      </c>
    </row>
    <row r="8" spans="1:12" ht="16.5" customHeight="1">
      <c r="A8" s="1">
        <f t="shared" si="1"/>
        <v>6</v>
      </c>
      <c r="B8" s="38" t="str">
        <f>октябрь!B8</f>
        <v>Электроснабжение(инд.потребление)</v>
      </c>
      <c r="C8" s="8">
        <f>35981.12+5162.4</f>
        <v>41143.520000000004</v>
      </c>
      <c r="D8" s="15">
        <f>C8+октябрь!D8</f>
        <v>392695.75</v>
      </c>
      <c r="E8" s="9">
        <f>39581.52+4145.5</f>
        <v>43727.02</v>
      </c>
      <c r="F8" s="15">
        <f>E8+октябрь!F8</f>
        <v>421237.61</v>
      </c>
      <c r="G8" s="15">
        <f t="shared" si="0"/>
        <v>2583.4999999999927</v>
      </c>
      <c r="H8" s="16">
        <f t="shared" si="0"/>
        <v>28541.859999999986</v>
      </c>
      <c r="I8" s="9"/>
      <c r="J8" s="16">
        <f>I8+октябрь!J8</f>
        <v>0</v>
      </c>
      <c r="K8" s="13"/>
      <c r="L8" s="15">
        <f>K8+октябрь!L8</f>
        <v>0</v>
      </c>
    </row>
    <row r="9" spans="1:12">
      <c r="A9" s="1">
        <f t="shared" si="1"/>
        <v>7</v>
      </c>
      <c r="B9" s="38" t="str">
        <f>октябрь!B9</f>
        <v>Холодная вода</v>
      </c>
      <c r="C9" s="8">
        <f>21719.69+3291.6</f>
        <v>25011.289999999997</v>
      </c>
      <c r="D9" s="15">
        <f>C9+октябрь!D9</f>
        <v>238492.49000000002</v>
      </c>
      <c r="E9" s="9">
        <f>23747.14+2861.05</f>
        <v>26608.19</v>
      </c>
      <c r="F9" s="15">
        <f>E9+октябрь!F9</f>
        <v>250444.37</v>
      </c>
      <c r="G9" s="15">
        <f t="shared" si="0"/>
        <v>1596.9000000000015</v>
      </c>
      <c r="H9" s="16">
        <f t="shared" si="0"/>
        <v>11951.879999999976</v>
      </c>
      <c r="I9" s="9"/>
      <c r="J9" s="16">
        <f>I9+октябрь!J9</f>
        <v>0</v>
      </c>
      <c r="K9" s="13"/>
      <c r="L9" s="15">
        <f>K9+октябрь!L9</f>
        <v>0</v>
      </c>
    </row>
    <row r="10" spans="1:12">
      <c r="A10" s="1">
        <f t="shared" si="1"/>
        <v>8</v>
      </c>
      <c r="B10" s="38" t="str">
        <f>октябрь!B10</f>
        <v>Канализир.х.воды</v>
      </c>
      <c r="C10" s="8">
        <f t="shared" ref="C10:E11" si="3">0+0</f>
        <v>0</v>
      </c>
      <c r="D10" s="15">
        <f>C10+октябрь!D10</f>
        <v>0</v>
      </c>
      <c r="E10" s="8">
        <f t="shared" si="3"/>
        <v>0</v>
      </c>
      <c r="F10" s="15">
        <f>E10+октябрь!F10</f>
        <v>114.22</v>
      </c>
      <c r="G10" s="15">
        <f t="shared" si="0"/>
        <v>0</v>
      </c>
      <c r="H10" s="16">
        <f t="shared" si="0"/>
        <v>114.22</v>
      </c>
      <c r="I10" s="9"/>
      <c r="J10" s="16">
        <f>I10+октябрь!J10</f>
        <v>0</v>
      </c>
      <c r="K10" s="13"/>
      <c r="L10" s="15">
        <f>K10+октябрь!L10</f>
        <v>0</v>
      </c>
    </row>
    <row r="11" spans="1:12">
      <c r="A11" s="1">
        <f t="shared" si="1"/>
        <v>9</v>
      </c>
      <c r="B11" s="38" t="str">
        <f>октябрь!B11</f>
        <v>Канализир.г.воды</v>
      </c>
      <c r="C11" s="8">
        <f t="shared" si="3"/>
        <v>0</v>
      </c>
      <c r="D11" s="15">
        <f>C11+октябрь!D11</f>
        <v>0</v>
      </c>
      <c r="E11" s="8">
        <f t="shared" si="3"/>
        <v>0</v>
      </c>
      <c r="F11" s="15">
        <f>E11+октябрь!F11</f>
        <v>76.009999999999991</v>
      </c>
      <c r="G11" s="15">
        <f t="shared" si="0"/>
        <v>0</v>
      </c>
      <c r="H11" s="16">
        <f t="shared" si="0"/>
        <v>76.009999999999991</v>
      </c>
      <c r="I11" s="9"/>
      <c r="J11" s="16">
        <f>I11+октябрь!J11</f>
        <v>0</v>
      </c>
      <c r="K11" s="13"/>
      <c r="L11" s="15">
        <f>K11+октябрь!L11</f>
        <v>0</v>
      </c>
    </row>
    <row r="12" spans="1:12" ht="13.5" customHeight="1">
      <c r="A12" s="1">
        <f t="shared" si="1"/>
        <v>10</v>
      </c>
      <c r="B12" s="38" t="str">
        <f>октябрь!B12</f>
        <v>Тек.рем.общ.имущ.дома</v>
      </c>
      <c r="C12" s="8">
        <f>19915.66+2712.72</f>
        <v>22628.38</v>
      </c>
      <c r="D12" s="15">
        <f>C12+октябрь!D12</f>
        <v>218931.83000000002</v>
      </c>
      <c r="E12" s="9">
        <f>20191.65+2140.74</f>
        <v>22332.39</v>
      </c>
      <c r="F12" s="15">
        <f>E12+октябрь!F12</f>
        <v>217325.95</v>
      </c>
      <c r="G12" s="15">
        <f t="shared" si="0"/>
        <v>-295.9900000000016</v>
      </c>
      <c r="H12" s="16">
        <f t="shared" si="0"/>
        <v>-1605.8800000000047</v>
      </c>
      <c r="I12" s="9"/>
      <c r="J12" s="16">
        <f>I12+октябрь!J12</f>
        <v>0</v>
      </c>
      <c r="K12" s="13"/>
      <c r="L12" s="15">
        <f>K12+октябрь!L12</f>
        <v>0</v>
      </c>
    </row>
    <row r="13" spans="1:12" ht="15.75" customHeight="1">
      <c r="A13" s="1">
        <f t="shared" si="1"/>
        <v>11</v>
      </c>
      <c r="B13" s="38" t="str">
        <f>октябрь!B13</f>
        <v>Сод.и тек.рем.в/дом.газос.</v>
      </c>
      <c r="C13" s="8">
        <f>2180.78+297.04</f>
        <v>2477.8200000000002</v>
      </c>
      <c r="D13" s="15">
        <f>C13+октябрь!D13</f>
        <v>24163.98</v>
      </c>
      <c r="E13" s="9">
        <f>2213.95+234.87</f>
        <v>2448.8199999999997</v>
      </c>
      <c r="F13" s="15">
        <f>E13+октябрь!F13</f>
        <v>24027.329999999998</v>
      </c>
      <c r="G13" s="15">
        <f t="shared" si="0"/>
        <v>-29.000000000000455</v>
      </c>
      <c r="H13" s="16">
        <f t="shared" si="0"/>
        <v>-136.65000000000146</v>
      </c>
      <c r="I13" s="9"/>
      <c r="J13" s="16">
        <f>I13+октябрь!J13</f>
        <v>0</v>
      </c>
      <c r="K13" s="13"/>
      <c r="L13" s="15">
        <f>K13+октябрь!L13</f>
        <v>0</v>
      </c>
    </row>
    <row r="14" spans="1:12" ht="15.75" customHeight="1">
      <c r="A14" s="1">
        <f t="shared" si="1"/>
        <v>12</v>
      </c>
      <c r="B14" s="38" t="str">
        <f>октябрь!B14</f>
        <v>Управление многокварт.</v>
      </c>
      <c r="C14" s="8">
        <f>8242+1122.66</f>
        <v>9364.66</v>
      </c>
      <c r="D14" s="15">
        <f>C14+октябрь!D14</f>
        <v>88305.930000000008</v>
      </c>
      <c r="E14" s="9">
        <f>8320.78+880.47</f>
        <v>9201.25</v>
      </c>
      <c r="F14" s="15">
        <f>E14+октябрь!F14</f>
        <v>86839.05</v>
      </c>
      <c r="G14" s="15">
        <f t="shared" si="0"/>
        <v>-163.40999999999985</v>
      </c>
      <c r="H14" s="16">
        <f t="shared" si="0"/>
        <v>-1466.8800000000047</v>
      </c>
      <c r="I14" s="9"/>
      <c r="J14" s="16">
        <f>I14+октябрь!J14</f>
        <v>0</v>
      </c>
      <c r="K14" s="13"/>
      <c r="L14" s="15">
        <f>K14+октябрь!L14</f>
        <v>0</v>
      </c>
    </row>
    <row r="15" spans="1:12">
      <c r="A15" s="1">
        <f t="shared" si="1"/>
        <v>13</v>
      </c>
      <c r="B15" s="38" t="str">
        <f>октябрь!B15</f>
        <v>Водоотведение(кв)</v>
      </c>
      <c r="C15" s="8">
        <f>37145.46+5629.35</f>
        <v>42774.81</v>
      </c>
      <c r="D15" s="15">
        <f>C15+октябрь!D15</f>
        <v>406120.58</v>
      </c>
      <c r="E15" s="9">
        <f>40612.8+4893</f>
        <v>45505.8</v>
      </c>
      <c r="F15" s="15">
        <f>E15+октябрь!F15</f>
        <v>428754.92000000004</v>
      </c>
      <c r="G15" s="15">
        <f t="shared" si="0"/>
        <v>2730.9900000000052</v>
      </c>
      <c r="H15" s="16">
        <f t="shared" si="0"/>
        <v>22634.340000000026</v>
      </c>
      <c r="I15" s="9"/>
      <c r="J15" s="16">
        <f>I15+октябрь!J15</f>
        <v>0</v>
      </c>
      <c r="K15" s="13"/>
      <c r="L15" s="15">
        <f>K15+октябрь!L15</f>
        <v>0</v>
      </c>
    </row>
    <row r="16" spans="1:12">
      <c r="A16" s="1">
        <f t="shared" si="1"/>
        <v>14</v>
      </c>
      <c r="B16" s="38" t="str">
        <f>октябрь!B16</f>
        <v>Эксплуатация общ.ПУ</v>
      </c>
      <c r="C16" s="8">
        <f>2116.62+288.31</f>
        <v>2404.9299999999998</v>
      </c>
      <c r="D16" s="15">
        <f>C16+октябрь!D16</f>
        <v>23255.47</v>
      </c>
      <c r="E16" s="9">
        <f>2145.74+227.5</f>
        <v>2373.2399999999998</v>
      </c>
      <c r="F16" s="15">
        <f>E16+октябрь!F16</f>
        <v>23095.800000000003</v>
      </c>
      <c r="G16" s="15">
        <f t="shared" si="0"/>
        <v>-31.690000000000055</v>
      </c>
      <c r="H16" s="16">
        <f t="shared" si="0"/>
        <v>-159.66999999999825</v>
      </c>
      <c r="I16" s="9"/>
      <c r="J16" s="16">
        <f>I16+октябрь!J16</f>
        <v>0</v>
      </c>
      <c r="K16" s="13"/>
      <c r="L16" s="15">
        <f>K16+октябрь!L16</f>
        <v>0</v>
      </c>
    </row>
    <row r="17" spans="1:12" ht="15" customHeight="1">
      <c r="A17" s="1">
        <f t="shared" si="1"/>
        <v>15</v>
      </c>
      <c r="B17" s="38" t="str">
        <f>октябрь!B17</f>
        <v>Водоотведение(о/д нужд)</v>
      </c>
      <c r="C17" s="8">
        <f t="shared" ref="C17:E18" si="4">0+0</f>
        <v>0</v>
      </c>
      <c r="D17" s="15">
        <f>C17+октябрь!D17</f>
        <v>0</v>
      </c>
      <c r="E17" s="8">
        <f t="shared" si="4"/>
        <v>0</v>
      </c>
      <c r="F17" s="15">
        <f>E17+октябрь!F17</f>
        <v>0</v>
      </c>
      <c r="G17" s="15">
        <f t="shared" si="0"/>
        <v>0</v>
      </c>
      <c r="H17" s="16">
        <f t="shared" si="0"/>
        <v>0</v>
      </c>
      <c r="I17" s="9"/>
      <c r="J17" s="16">
        <f>I17+октябрь!J17</f>
        <v>0</v>
      </c>
      <c r="K17" s="13"/>
      <c r="L17" s="15">
        <f>K17+октябрь!L17</f>
        <v>0</v>
      </c>
    </row>
    <row r="18" spans="1:12">
      <c r="A18" s="1">
        <f t="shared" si="1"/>
        <v>16</v>
      </c>
      <c r="B18" s="38" t="str">
        <f>октябрь!B18</f>
        <v>Отопление(о/д нужд)</v>
      </c>
      <c r="C18" s="8">
        <f t="shared" si="4"/>
        <v>0</v>
      </c>
      <c r="D18" s="15">
        <f>C18+октябрь!D18</f>
        <v>0</v>
      </c>
      <c r="E18" s="8">
        <f t="shared" si="4"/>
        <v>0</v>
      </c>
      <c r="F18" s="15">
        <f>E18+октябрь!F18</f>
        <v>29.72</v>
      </c>
      <c r="G18" s="15">
        <f t="shared" si="0"/>
        <v>0</v>
      </c>
      <c r="H18" s="16">
        <f t="shared" si="0"/>
        <v>29.72</v>
      </c>
      <c r="I18" s="9"/>
      <c r="J18" s="16">
        <f>I18+октябрь!J18</f>
        <v>0</v>
      </c>
      <c r="K18" s="13"/>
      <c r="L18" s="15">
        <f>K18+октябрь!L18</f>
        <v>0</v>
      </c>
    </row>
    <row r="19" spans="1:12" ht="15.75" customHeight="1">
      <c r="A19" s="1">
        <f t="shared" si="1"/>
        <v>17</v>
      </c>
      <c r="B19" s="38" t="str">
        <f>октябрь!B19</f>
        <v>Электроснабжение(общед.нужды)</v>
      </c>
      <c r="C19" s="8">
        <f>27945.01+3806.32</f>
        <v>31751.329999999998</v>
      </c>
      <c r="D19" s="15">
        <f>C19+октябрь!D19</f>
        <v>259124.84999999998</v>
      </c>
      <c r="E19" s="9">
        <f>18732.08+2682.67</f>
        <v>21414.75</v>
      </c>
      <c r="F19" s="15">
        <f>E19+октябрь!F19</f>
        <v>254136.93</v>
      </c>
      <c r="G19" s="15">
        <f t="shared" si="0"/>
        <v>-10336.579999999998</v>
      </c>
      <c r="H19" s="16">
        <f t="shared" si="0"/>
        <v>-4987.9199999999837</v>
      </c>
      <c r="I19" s="9"/>
      <c r="J19" s="16">
        <f>I19+октябрь!J19</f>
        <v>0</v>
      </c>
      <c r="K19" s="13"/>
      <c r="L19" s="15">
        <f>K19+октябрь!L19</f>
        <v>0</v>
      </c>
    </row>
    <row r="20" spans="1:12" ht="17.25" customHeight="1">
      <c r="A20" s="1">
        <f t="shared" si="1"/>
        <v>18</v>
      </c>
      <c r="B20" s="38" t="str">
        <f>октябрь!B20</f>
        <v>Горячее водоснабж.(о/д нужды)</v>
      </c>
      <c r="C20" s="8">
        <f>1082.54+150.05</f>
        <v>1232.5899999999999</v>
      </c>
      <c r="D20" s="15">
        <f>C20+октябрь!D20</f>
        <v>10305.01</v>
      </c>
      <c r="E20" s="9">
        <f>1056.16+112.27</f>
        <v>1168.43</v>
      </c>
      <c r="F20" s="15">
        <f>E20+октябрь!F20</f>
        <v>9368.14</v>
      </c>
      <c r="G20" s="15">
        <f t="shared" si="0"/>
        <v>-64.159999999999854</v>
      </c>
      <c r="H20" s="16">
        <f t="shared" si="0"/>
        <v>-936.8700000000008</v>
      </c>
      <c r="I20" s="9"/>
      <c r="J20" s="16">
        <f>I20+октябрь!J20</f>
        <v>0</v>
      </c>
      <c r="K20" s="13"/>
      <c r="L20" s="15">
        <f>K20+октябрь!L20</f>
        <v>0</v>
      </c>
    </row>
    <row r="21" spans="1:12" ht="14.25" customHeight="1">
      <c r="A21" s="1">
        <f t="shared" si="1"/>
        <v>19</v>
      </c>
      <c r="B21" s="38" t="str">
        <f>октябрь!B21</f>
        <v>Холодное водоснабж.(О/д нужд)</v>
      </c>
      <c r="C21" s="8">
        <f>438.76+59.92</f>
        <v>498.68</v>
      </c>
      <c r="D21" s="15">
        <f>C21+октябрь!D21</f>
        <v>4069.1300000000006</v>
      </c>
      <c r="E21" s="9">
        <f>424.7+45.22</f>
        <v>469.91999999999996</v>
      </c>
      <c r="F21" s="15">
        <f>E21+октябрь!F21</f>
        <v>4561.0199999999995</v>
      </c>
      <c r="G21" s="15">
        <f t="shared" si="0"/>
        <v>-28.760000000000048</v>
      </c>
      <c r="H21" s="16">
        <f t="shared" si="0"/>
        <v>491.88999999999896</v>
      </c>
      <c r="I21" s="9"/>
      <c r="J21" s="16">
        <f>I21+октябрь!J21</f>
        <v>0</v>
      </c>
      <c r="K21" s="13"/>
      <c r="L21" s="15">
        <f>K21+октябрь!L21</f>
        <v>0</v>
      </c>
    </row>
    <row r="22" spans="1:12">
      <c r="A22" s="1">
        <f t="shared" si="1"/>
        <v>20</v>
      </c>
      <c r="B22" s="38">
        <f>октябрь!B22</f>
        <v>0</v>
      </c>
      <c r="C22" s="8">
        <f t="shared" ref="C22:E22" si="5">0+0</f>
        <v>0</v>
      </c>
      <c r="D22" s="15">
        <f>C22+октябрь!D22</f>
        <v>0</v>
      </c>
      <c r="E22" s="8">
        <f t="shared" si="5"/>
        <v>0</v>
      </c>
      <c r="F22" s="15">
        <f>E22+октябрь!F22</f>
        <v>0</v>
      </c>
      <c r="G22" s="15">
        <f t="shared" si="0"/>
        <v>0</v>
      </c>
      <c r="H22" s="16">
        <f t="shared" si="0"/>
        <v>0</v>
      </c>
      <c r="I22" s="9"/>
      <c r="J22" s="16">
        <f>I22+октябрь!J22</f>
        <v>0</v>
      </c>
      <c r="K22" s="13"/>
      <c r="L22" s="15">
        <f>K22+октябрь!L22</f>
        <v>0</v>
      </c>
    </row>
    <row r="23" spans="1:12" s="14" customFormat="1">
      <c r="A23" s="22"/>
      <c r="B23" s="21" t="s">
        <v>12</v>
      </c>
      <c r="C23" s="15">
        <f t="shared" ref="C23:L23" si="6">SUM(C3:C22)</f>
        <v>424892.91000000003</v>
      </c>
      <c r="D23" s="15">
        <f t="shared" si="6"/>
        <v>3479952.4300000006</v>
      </c>
      <c r="E23" s="16">
        <f t="shared" si="6"/>
        <v>342818.84999999992</v>
      </c>
      <c r="F23" s="15">
        <f t="shared" si="6"/>
        <v>3675145.7800000007</v>
      </c>
      <c r="G23" s="15">
        <f t="shared" si="6"/>
        <v>-82074.060000000027</v>
      </c>
      <c r="H23" s="16">
        <f t="shared" si="6"/>
        <v>195193.35000000015</v>
      </c>
      <c r="I23" s="16">
        <f t="shared" si="6"/>
        <v>0</v>
      </c>
      <c r="J23" s="16">
        <f t="shared" si="6"/>
        <v>0</v>
      </c>
      <c r="K23" s="15">
        <f t="shared" si="6"/>
        <v>0</v>
      </c>
      <c r="L23" s="15">
        <f t="shared" si="6"/>
        <v>0</v>
      </c>
    </row>
    <row r="24" spans="1:12">
      <c r="B24" s="1" t="s">
        <v>35</v>
      </c>
      <c r="C24" s="9">
        <f>C9+C10+C11+C15+C17+C21</f>
        <v>68284.779999999984</v>
      </c>
      <c r="D24" s="9">
        <f t="shared" ref="D24:J24" si="7">D9+D10+D11+D15+D17+D21</f>
        <v>648682.20000000007</v>
      </c>
      <c r="E24" s="9">
        <f t="shared" si="7"/>
        <v>72583.91</v>
      </c>
      <c r="F24" s="9">
        <f t="shared" si="7"/>
        <v>683950.54</v>
      </c>
      <c r="G24" s="9">
        <f t="shared" si="7"/>
        <v>4299.1300000000065</v>
      </c>
      <c r="H24" s="9">
        <f t="shared" si="7"/>
        <v>35268.339999999997</v>
      </c>
      <c r="I24" s="9">
        <f t="shared" si="7"/>
        <v>0</v>
      </c>
      <c r="J24" s="9">
        <f t="shared" si="7"/>
        <v>0</v>
      </c>
    </row>
    <row r="25" spans="1:12">
      <c r="B25" s="1" t="s">
        <v>38</v>
      </c>
      <c r="C25" s="9">
        <f>C8+C19</f>
        <v>72894.850000000006</v>
      </c>
      <c r="D25" s="9">
        <f t="shared" ref="D25:J25" si="8">D8+D19</f>
        <v>651820.6</v>
      </c>
      <c r="E25" s="9">
        <f t="shared" si="8"/>
        <v>65141.77</v>
      </c>
      <c r="F25" s="9">
        <f t="shared" si="8"/>
        <v>675374.54</v>
      </c>
      <c r="G25" s="9">
        <f t="shared" si="8"/>
        <v>-7753.0800000000054</v>
      </c>
      <c r="H25" s="9">
        <f t="shared" si="8"/>
        <v>23553.940000000002</v>
      </c>
      <c r="I25" s="9">
        <f t="shared" si="8"/>
        <v>0</v>
      </c>
      <c r="J25" s="9">
        <f t="shared" si="8"/>
        <v>0</v>
      </c>
    </row>
    <row r="26" spans="1:12">
      <c r="B26" s="1" t="s">
        <v>39</v>
      </c>
      <c r="C26" s="9">
        <f>C4+C5+C18+C20</f>
        <v>196807.4</v>
      </c>
      <c r="D26" s="9">
        <f t="shared" ref="D26:J26" si="9">D4+D5+D18+D20</f>
        <v>1346472.07</v>
      </c>
      <c r="E26" s="9">
        <f t="shared" si="9"/>
        <v>119478.28</v>
      </c>
      <c r="F26" s="9">
        <f t="shared" si="9"/>
        <v>1492290.6</v>
      </c>
      <c r="G26" s="9">
        <f t="shared" si="9"/>
        <v>-77329.12000000001</v>
      </c>
      <c r="H26" s="9">
        <f t="shared" si="9"/>
        <v>145818.53000000006</v>
      </c>
      <c r="I26" s="9">
        <f t="shared" si="9"/>
        <v>0</v>
      </c>
      <c r="J26" s="9">
        <f t="shared" si="9"/>
        <v>0</v>
      </c>
    </row>
    <row r="29" spans="1:12">
      <c r="D29" s="14">
        <v>372050.23</v>
      </c>
      <c r="E29">
        <v>306884.96000000002</v>
      </c>
    </row>
    <row r="30" spans="1:12">
      <c r="D30" s="14">
        <v>52842.68</v>
      </c>
      <c r="E30">
        <v>35933.89</v>
      </c>
    </row>
    <row r="31" spans="1:12">
      <c r="D31" s="68">
        <f>D29+D30</f>
        <v>424892.91</v>
      </c>
      <c r="E31" s="68">
        <f>E29+E30</f>
        <v>342818.85000000003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33"/>
  <sheetViews>
    <sheetView tabSelected="1" zoomScale="106" zoomScaleNormal="106" workbookViewId="0">
      <selection activeCell="G40" sqref="G40"/>
    </sheetView>
  </sheetViews>
  <sheetFormatPr defaultRowHeight="12.75"/>
  <cols>
    <col min="1" max="1" width="3.7109375" customWidth="1"/>
    <col min="2" max="2" width="33.42578125" customWidth="1"/>
    <col min="3" max="3" width="14.28515625" customWidth="1"/>
    <col min="4" max="4" width="14" style="14" customWidth="1"/>
    <col min="5" max="5" width="12.7109375" style="14" customWidth="1"/>
    <col min="6" max="6" width="13.5703125" style="14" customWidth="1"/>
    <col min="7" max="7" width="14.42578125" style="14" customWidth="1"/>
    <col min="8" max="9" width="12.85546875" style="14" customWidth="1"/>
    <col min="10" max="10" width="13.28515625" style="14" customWidth="1"/>
    <col min="11" max="11" width="11" customWidth="1"/>
    <col min="12" max="12" width="13" customWidth="1"/>
    <col min="13" max="13" width="11.7109375" customWidth="1"/>
  </cols>
  <sheetData>
    <row r="1" spans="1:13">
      <c r="B1" s="11" t="s">
        <v>15</v>
      </c>
      <c r="C1" s="11" t="s">
        <v>43</v>
      </c>
    </row>
    <row r="2" spans="1:13" s="45" customFormat="1" ht="38.25" customHeight="1">
      <c r="A2" s="41" t="s">
        <v>0</v>
      </c>
      <c r="B2" s="41" t="s">
        <v>1</v>
      </c>
      <c r="C2" s="42" t="s">
        <v>2</v>
      </c>
      <c r="D2" s="43" t="s">
        <v>3</v>
      </c>
      <c r="E2" s="44" t="s">
        <v>4</v>
      </c>
      <c r="F2" s="43" t="s">
        <v>5</v>
      </c>
      <c r="G2" s="43" t="s">
        <v>6</v>
      </c>
      <c r="H2" s="43" t="s">
        <v>7</v>
      </c>
      <c r="I2" s="44" t="s">
        <v>8</v>
      </c>
      <c r="J2" s="43" t="s">
        <v>9</v>
      </c>
      <c r="K2" s="41" t="s">
        <v>10</v>
      </c>
      <c r="L2" s="43" t="s">
        <v>11</v>
      </c>
    </row>
    <row r="3" spans="1:13" s="45" customFormat="1" ht="18.75" customHeight="1">
      <c r="A3" s="46">
        <v>1</v>
      </c>
      <c r="B3" s="38" t="str">
        <f>ноябрь!B3</f>
        <v>Содержание общ.имущ.дома</v>
      </c>
      <c r="C3" s="8">
        <f>38163.56+5198.28</f>
        <v>43361.84</v>
      </c>
      <c r="D3" s="48">
        <f>C3+ноябрь!D3</f>
        <v>460894.69999999984</v>
      </c>
      <c r="E3" s="49">
        <f>37887.6+5289.22</f>
        <v>43176.82</v>
      </c>
      <c r="F3" s="48">
        <f>E3+ноябрь!F3</f>
        <v>455820.18</v>
      </c>
      <c r="G3" s="48">
        <f>E3-C3</f>
        <v>-185.0199999999968</v>
      </c>
      <c r="H3" s="48">
        <f>F3-D3</f>
        <v>-5074.519999999844</v>
      </c>
      <c r="I3" s="49"/>
      <c r="J3" s="48">
        <f>I3+ноябрь!J3</f>
        <v>0</v>
      </c>
      <c r="K3" s="47"/>
      <c r="L3" s="48">
        <f>K3+ноябрь!L3</f>
        <v>0</v>
      </c>
    </row>
    <row r="4" spans="1:13" s="45" customFormat="1">
      <c r="A4" s="46">
        <f>A3+1</f>
        <v>2</v>
      </c>
      <c r="B4" s="38" t="str">
        <f>ноябрь!B4</f>
        <v>Отопление</v>
      </c>
      <c r="C4" s="8">
        <f>128424.49+17492.78</f>
        <v>145917.27000000002</v>
      </c>
      <c r="D4" s="48">
        <f>C4+ноябрь!D4</f>
        <v>854064.62</v>
      </c>
      <c r="E4" s="49">
        <f>101141.32+12062.35</f>
        <v>113203.67000000001</v>
      </c>
      <c r="F4" s="48">
        <f>E4+ноябрь!F4</f>
        <v>933580.71000000008</v>
      </c>
      <c r="G4" s="48">
        <f t="shared" ref="G4:H22" si="0">E4-C4</f>
        <v>-32713.600000000006</v>
      </c>
      <c r="H4" s="48">
        <f t="shared" si="0"/>
        <v>79516.090000000084</v>
      </c>
      <c r="I4" s="49"/>
      <c r="J4" s="48">
        <f>I4+ноябрь!J4</f>
        <v>0</v>
      </c>
      <c r="K4" s="47"/>
      <c r="L4" s="48">
        <f>K4+ноябрь!L4</f>
        <v>0</v>
      </c>
      <c r="M4" s="50">
        <f>L4-J4</f>
        <v>0</v>
      </c>
    </row>
    <row r="5" spans="1:13" s="45" customFormat="1">
      <c r="A5" s="46">
        <f t="shared" ref="A5:A22" si="1">A4+1</f>
        <v>3</v>
      </c>
      <c r="B5" s="38" t="str">
        <f>ноябрь!B5</f>
        <v>Горячее водоснабжение</v>
      </c>
      <c r="C5" s="8">
        <f>56828.95+8412.15</f>
        <v>65241.1</v>
      </c>
      <c r="D5" s="48">
        <f>C5+ноябрь!D5</f>
        <v>693260.81</v>
      </c>
      <c r="E5" s="49">
        <f>59731.89+8870.93</f>
        <v>68602.820000000007</v>
      </c>
      <c r="F5" s="48">
        <f>E5+ноябрь!F5</f>
        <v>731118.52</v>
      </c>
      <c r="G5" s="48">
        <f t="shared" si="0"/>
        <v>3361.7200000000084</v>
      </c>
      <c r="H5" s="48">
        <f t="shared" si="0"/>
        <v>37857.709999999963</v>
      </c>
      <c r="I5" s="49"/>
      <c r="J5" s="48">
        <f>I5+ноябрь!J5</f>
        <v>0</v>
      </c>
      <c r="K5" s="47"/>
      <c r="L5" s="48">
        <f>K5+ноябрь!L5</f>
        <v>0</v>
      </c>
    </row>
    <row r="6" spans="1:13" s="45" customFormat="1">
      <c r="A6" s="46">
        <f t="shared" si="1"/>
        <v>4</v>
      </c>
      <c r="B6" s="38" t="str">
        <f>ноябрь!B6</f>
        <v>Газ</v>
      </c>
      <c r="C6" s="8">
        <f t="shared" ref="C6:E6" si="2">0+0</f>
        <v>0</v>
      </c>
      <c r="D6" s="48">
        <f>C6+ноябрь!D6</f>
        <v>-87.84</v>
      </c>
      <c r="E6" s="8">
        <f t="shared" si="2"/>
        <v>0</v>
      </c>
      <c r="F6" s="48">
        <f>E6+ноябрь!F6</f>
        <v>0</v>
      </c>
      <c r="G6" s="48">
        <f t="shared" si="0"/>
        <v>0</v>
      </c>
      <c r="H6" s="48">
        <f t="shared" si="0"/>
        <v>87.84</v>
      </c>
      <c r="I6" s="49"/>
      <c r="J6" s="48">
        <f>I6+ноябрь!J6</f>
        <v>0</v>
      </c>
      <c r="K6" s="47"/>
      <c r="L6" s="48">
        <f>K6+ноябрь!L6</f>
        <v>0</v>
      </c>
    </row>
    <row r="7" spans="1:13" s="45" customFormat="1" ht="15" customHeight="1">
      <c r="A7" s="46">
        <f t="shared" si="1"/>
        <v>5</v>
      </c>
      <c r="B7" s="38" t="str">
        <f>ноябрь!B7</f>
        <v>Уборка и сан.очистка зем.участка</v>
      </c>
      <c r="C7" s="8">
        <f>5868.86+799.39</f>
        <v>6668.25</v>
      </c>
      <c r="D7" s="48">
        <f>C7+ноябрь!D7</f>
        <v>67543.58</v>
      </c>
      <c r="E7" s="49">
        <f>5807.57+805.73</f>
        <v>6613.2999999999993</v>
      </c>
      <c r="F7" s="48">
        <f>E7+ноябрь!F7</f>
        <v>66211.91</v>
      </c>
      <c r="G7" s="48">
        <f t="shared" si="0"/>
        <v>-54.950000000000728</v>
      </c>
      <c r="H7" s="48">
        <f t="shared" si="0"/>
        <v>-1331.6699999999983</v>
      </c>
      <c r="I7" s="49"/>
      <c r="J7" s="48">
        <f>I7+ноябрь!J7</f>
        <v>0</v>
      </c>
      <c r="K7" s="47"/>
      <c r="L7" s="48">
        <f>K7+ноябрь!L7</f>
        <v>0</v>
      </c>
    </row>
    <row r="8" spans="1:13" s="45" customFormat="1" ht="15" customHeight="1">
      <c r="A8" s="46">
        <f t="shared" si="1"/>
        <v>6</v>
      </c>
      <c r="B8" s="38" t="str">
        <f>ноябрь!B8</f>
        <v>Электроснабжение(инд.потребление)</v>
      </c>
      <c r="C8" s="8">
        <f>36499.78+5162.4</f>
        <v>41662.18</v>
      </c>
      <c r="D8" s="48">
        <f>C8+ноябрь!D8</f>
        <v>434357.93</v>
      </c>
      <c r="E8" s="49">
        <f>37412.05+4929.54</f>
        <v>42341.590000000004</v>
      </c>
      <c r="F8" s="48">
        <f>E8+ноябрь!F8</f>
        <v>463579.2</v>
      </c>
      <c r="G8" s="48">
        <f t="shared" si="0"/>
        <v>679.41000000000349</v>
      </c>
      <c r="H8" s="48">
        <f t="shared" si="0"/>
        <v>29221.270000000019</v>
      </c>
      <c r="I8" s="49"/>
      <c r="J8" s="48">
        <f>I8+ноябрь!J8</f>
        <v>0</v>
      </c>
      <c r="K8" s="47"/>
      <c r="L8" s="48">
        <f>K8+ноябрь!L8</f>
        <v>0</v>
      </c>
    </row>
    <row r="9" spans="1:13" s="45" customFormat="1">
      <c r="A9" s="46">
        <f t="shared" si="1"/>
        <v>7</v>
      </c>
      <c r="B9" s="38" t="str">
        <f>ноябрь!B9</f>
        <v>Холодная вода</v>
      </c>
      <c r="C9" s="8">
        <f>22244.51+3291.6</f>
        <v>25536.109999999997</v>
      </c>
      <c r="D9" s="48">
        <f>C9+ноябрь!D9</f>
        <v>264028.60000000003</v>
      </c>
      <c r="E9" s="49">
        <f>23312.78+3455.08</f>
        <v>26767.86</v>
      </c>
      <c r="F9" s="48">
        <f>E9+ноябрь!F9</f>
        <v>277212.23</v>
      </c>
      <c r="G9" s="48">
        <f t="shared" si="0"/>
        <v>1231.7500000000036</v>
      </c>
      <c r="H9" s="48">
        <f t="shared" si="0"/>
        <v>13183.629999999946</v>
      </c>
      <c r="I9" s="49"/>
      <c r="J9" s="48">
        <f>I9+ноябрь!J9</f>
        <v>0</v>
      </c>
      <c r="K9" s="47"/>
      <c r="L9" s="48">
        <f>K9+ноябрь!L9</f>
        <v>0</v>
      </c>
    </row>
    <row r="10" spans="1:13" s="45" customFormat="1">
      <c r="A10" s="46">
        <f t="shared" si="1"/>
        <v>8</v>
      </c>
      <c r="B10" s="38" t="str">
        <f>ноябрь!B10</f>
        <v>Канализир.х.воды</v>
      </c>
      <c r="C10" s="8">
        <f t="shared" ref="C10:E11" si="3">0+0</f>
        <v>0</v>
      </c>
      <c r="D10" s="48">
        <f>C10+ноябрь!D10</f>
        <v>0</v>
      </c>
      <c r="E10" s="8">
        <f t="shared" si="3"/>
        <v>0</v>
      </c>
      <c r="F10" s="48">
        <f>E10+ноябрь!F10</f>
        <v>114.22</v>
      </c>
      <c r="G10" s="48">
        <f t="shared" si="0"/>
        <v>0</v>
      </c>
      <c r="H10" s="48">
        <f t="shared" si="0"/>
        <v>114.22</v>
      </c>
      <c r="I10" s="49"/>
      <c r="J10" s="48">
        <f>I10+ноябрь!J10</f>
        <v>0</v>
      </c>
      <c r="K10" s="47"/>
      <c r="L10" s="48">
        <f>K10+ноябрь!L10</f>
        <v>0</v>
      </c>
      <c r="M10" s="50">
        <f>L10-J10</f>
        <v>0</v>
      </c>
    </row>
    <row r="11" spans="1:13" s="45" customFormat="1">
      <c r="A11" s="46">
        <f t="shared" si="1"/>
        <v>9</v>
      </c>
      <c r="B11" s="38" t="str">
        <f>ноябрь!B11</f>
        <v>Канализир.г.воды</v>
      </c>
      <c r="C11" s="8">
        <f t="shared" si="3"/>
        <v>0</v>
      </c>
      <c r="D11" s="48">
        <f>C11+ноябрь!D11</f>
        <v>0</v>
      </c>
      <c r="E11" s="8">
        <f t="shared" si="3"/>
        <v>0</v>
      </c>
      <c r="F11" s="48">
        <f>E11+ноябрь!F11</f>
        <v>76.009999999999991</v>
      </c>
      <c r="G11" s="48">
        <f t="shared" si="0"/>
        <v>0</v>
      </c>
      <c r="H11" s="48">
        <f t="shared" si="0"/>
        <v>76.009999999999991</v>
      </c>
      <c r="I11" s="49"/>
      <c r="J11" s="48">
        <f>I11+ноябрь!J11</f>
        <v>0</v>
      </c>
      <c r="K11" s="47"/>
      <c r="L11" s="48">
        <f>K11+ноябрь!L11</f>
        <v>0</v>
      </c>
      <c r="M11" s="50">
        <f>L11-J11</f>
        <v>0</v>
      </c>
    </row>
    <row r="12" spans="1:13" s="45" customFormat="1">
      <c r="A12" s="46">
        <f t="shared" si="1"/>
        <v>10</v>
      </c>
      <c r="B12" s="38" t="str">
        <f>ноябрь!B12</f>
        <v>Тек.рем.общ.имущ.дома</v>
      </c>
      <c r="C12" s="8">
        <f>19915.66+2712.72</f>
        <v>22628.38</v>
      </c>
      <c r="D12" s="48">
        <f>C12+ноябрь!D12</f>
        <v>241560.21000000002</v>
      </c>
      <c r="E12" s="49">
        <f>19795.25+2762.59</f>
        <v>22557.84</v>
      </c>
      <c r="F12" s="48">
        <f>E12+ноябрь!F12</f>
        <v>239883.79</v>
      </c>
      <c r="G12" s="48">
        <f t="shared" si="0"/>
        <v>-70.540000000000873</v>
      </c>
      <c r="H12" s="48">
        <f t="shared" si="0"/>
        <v>-1676.4200000000128</v>
      </c>
      <c r="I12" s="49"/>
      <c r="J12" s="48">
        <f>I12+ноябрь!J12</f>
        <v>0</v>
      </c>
      <c r="K12" s="47"/>
      <c r="L12" s="48">
        <f>K12+ноябрь!L12</f>
        <v>0</v>
      </c>
    </row>
    <row r="13" spans="1:13" s="45" customFormat="1">
      <c r="A13" s="46">
        <f t="shared" si="1"/>
        <v>11</v>
      </c>
      <c r="B13" s="38" t="str">
        <f>ноябрь!B13</f>
        <v>Сод.и тек.рем.в/дом.газос.</v>
      </c>
      <c r="C13" s="8">
        <f>2180.78+297.04</f>
        <v>2477.8200000000002</v>
      </c>
      <c r="D13" s="48">
        <f>C13+ноябрь!D13</f>
        <v>26641.8</v>
      </c>
      <c r="E13" s="49">
        <f>2169.01+302.94</f>
        <v>2471.9500000000003</v>
      </c>
      <c r="F13" s="48">
        <f>E13+ноябрь!F13</f>
        <v>26499.279999999999</v>
      </c>
      <c r="G13" s="48">
        <f t="shared" si="0"/>
        <v>-5.8699999999998909</v>
      </c>
      <c r="H13" s="48">
        <f t="shared" si="0"/>
        <v>-142.52000000000044</v>
      </c>
      <c r="I13" s="49"/>
      <c r="J13" s="48">
        <f>I13+ноябрь!J13</f>
        <v>0</v>
      </c>
      <c r="K13" s="47"/>
      <c r="L13" s="48">
        <f>K13+ноябрь!L13</f>
        <v>0</v>
      </c>
    </row>
    <row r="14" spans="1:13" s="45" customFormat="1">
      <c r="A14" s="46">
        <f t="shared" si="1"/>
        <v>12</v>
      </c>
      <c r="B14" s="38" t="str">
        <f>ноябрь!B14</f>
        <v>Управление многокварт.</v>
      </c>
      <c r="C14" s="8">
        <f>8242+1122.66</f>
        <v>9364.66</v>
      </c>
      <c r="D14" s="48">
        <f>C14+ноябрь!D14</f>
        <v>97670.590000000011</v>
      </c>
      <c r="E14" s="49">
        <f>8159.97+1138.02</f>
        <v>9297.99</v>
      </c>
      <c r="F14" s="48">
        <f>E14+ноябрь!F14</f>
        <v>96137.040000000008</v>
      </c>
      <c r="G14" s="48">
        <f t="shared" si="0"/>
        <v>-66.670000000000073</v>
      </c>
      <c r="H14" s="48">
        <f t="shared" si="0"/>
        <v>-1533.5500000000029</v>
      </c>
      <c r="I14" s="49"/>
      <c r="J14" s="48">
        <f>I14+ноябрь!J14</f>
        <v>0</v>
      </c>
      <c r="K14" s="47"/>
      <c r="L14" s="48">
        <f>K14+ноябрь!L14</f>
        <v>0</v>
      </c>
    </row>
    <row r="15" spans="1:13" s="45" customFormat="1">
      <c r="A15" s="46">
        <f t="shared" si="1"/>
        <v>13</v>
      </c>
      <c r="B15" s="38" t="str">
        <f>ноябрь!B15</f>
        <v>Водоотведение(кв)</v>
      </c>
      <c r="C15" s="8">
        <f>38042.99+5629.35</f>
        <v>43672.34</v>
      </c>
      <c r="D15" s="48">
        <f>C15+ноябрь!D15</f>
        <v>449792.92000000004</v>
      </c>
      <c r="E15" s="49">
        <f>39872.33+5908.93</f>
        <v>45781.26</v>
      </c>
      <c r="F15" s="48">
        <f>E15+ноябрь!F15</f>
        <v>474536.18000000005</v>
      </c>
      <c r="G15" s="48">
        <f t="shared" si="0"/>
        <v>2108.9200000000055</v>
      </c>
      <c r="H15" s="48">
        <f t="shared" si="0"/>
        <v>24743.260000000009</v>
      </c>
      <c r="I15" s="49"/>
      <c r="J15" s="48">
        <f>I15+ноябрь!J15</f>
        <v>0</v>
      </c>
      <c r="K15" s="47"/>
      <c r="L15" s="48">
        <f>K15+ноябрь!L15</f>
        <v>0</v>
      </c>
    </row>
    <row r="16" spans="1:13" s="45" customFormat="1">
      <c r="A16" s="46">
        <f t="shared" si="1"/>
        <v>14</v>
      </c>
      <c r="B16" s="38" t="str">
        <f>ноябрь!B16</f>
        <v>Эксплуатация общ.ПУ</v>
      </c>
      <c r="C16" s="8">
        <f>2116.62+288.31</f>
        <v>2404.9299999999998</v>
      </c>
      <c r="D16" s="48">
        <f>C16+ноябрь!D16</f>
        <v>25660.400000000001</v>
      </c>
      <c r="E16" s="49">
        <f>2104.66+293.58</f>
        <v>2398.2399999999998</v>
      </c>
      <c r="F16" s="48">
        <f>E16+ноябрь!F16</f>
        <v>25494.04</v>
      </c>
      <c r="G16" s="48">
        <f t="shared" si="0"/>
        <v>-6.6900000000000546</v>
      </c>
      <c r="H16" s="48">
        <f t="shared" si="0"/>
        <v>-166.36000000000058</v>
      </c>
      <c r="I16" s="49"/>
      <c r="J16" s="48">
        <f>I16+ноябрь!J16</f>
        <v>0</v>
      </c>
      <c r="K16" s="47"/>
      <c r="L16" s="48">
        <f>K16+ноябрь!L16</f>
        <v>0</v>
      </c>
    </row>
    <row r="17" spans="1:12" s="45" customFormat="1">
      <c r="A17" s="46">
        <f t="shared" si="1"/>
        <v>15</v>
      </c>
      <c r="B17" s="38" t="str">
        <f>ноябрь!B17</f>
        <v>Водоотведение(о/д нужд)</v>
      </c>
      <c r="C17" s="8">
        <f t="shared" ref="C17:E18" si="4">0+0</f>
        <v>0</v>
      </c>
      <c r="D17" s="48">
        <f>C17+ноябрь!D17</f>
        <v>0</v>
      </c>
      <c r="E17" s="8">
        <f t="shared" si="4"/>
        <v>0</v>
      </c>
      <c r="F17" s="48">
        <f>E17+ноябрь!F17</f>
        <v>0</v>
      </c>
      <c r="G17" s="48">
        <f t="shared" si="0"/>
        <v>0</v>
      </c>
      <c r="H17" s="48">
        <f t="shared" si="0"/>
        <v>0</v>
      </c>
      <c r="I17" s="49"/>
      <c r="J17" s="48">
        <f>I17+ноябрь!J17</f>
        <v>0</v>
      </c>
      <c r="K17" s="47"/>
      <c r="L17" s="48">
        <f>K17+ноябрь!L17</f>
        <v>0</v>
      </c>
    </row>
    <row r="18" spans="1:12" s="45" customFormat="1">
      <c r="A18" s="46">
        <f t="shared" si="1"/>
        <v>16</v>
      </c>
      <c r="B18" s="38" t="str">
        <f>ноябрь!B18</f>
        <v>Отопление(о/д нужд)</v>
      </c>
      <c r="C18" s="8">
        <f t="shared" si="4"/>
        <v>0</v>
      </c>
      <c r="D18" s="48">
        <f>C18+ноябрь!D18</f>
        <v>0</v>
      </c>
      <c r="E18" s="8">
        <f t="shared" si="4"/>
        <v>0</v>
      </c>
      <c r="F18" s="48">
        <f>E18+ноябрь!F18</f>
        <v>29.72</v>
      </c>
      <c r="G18" s="48">
        <f t="shared" si="0"/>
        <v>0</v>
      </c>
      <c r="H18" s="48">
        <f t="shared" si="0"/>
        <v>29.72</v>
      </c>
      <c r="I18" s="49"/>
      <c r="J18" s="48">
        <f>I18+ноябрь!J18</f>
        <v>0</v>
      </c>
      <c r="K18" s="47"/>
      <c r="L18" s="48">
        <f>K18+ноябрь!L18</f>
        <v>0</v>
      </c>
    </row>
    <row r="19" spans="1:12" s="45" customFormat="1" ht="14.25" customHeight="1">
      <c r="A19" s="46">
        <f t="shared" si="1"/>
        <v>17</v>
      </c>
      <c r="B19" s="38" t="str">
        <f>ноябрь!B19</f>
        <v>Электроснабжение(общед.нужды)</v>
      </c>
      <c r="C19" s="8">
        <f>36626.96+4988.99</f>
        <v>41615.949999999997</v>
      </c>
      <c r="D19" s="48">
        <f>C19+ноябрь!D19</f>
        <v>300740.8</v>
      </c>
      <c r="E19" s="49">
        <f>26932.98+3822.91</f>
        <v>30755.89</v>
      </c>
      <c r="F19" s="48">
        <f>E19+ноябрь!F19</f>
        <v>284892.82</v>
      </c>
      <c r="G19" s="48">
        <f t="shared" si="0"/>
        <v>-10860.059999999998</v>
      </c>
      <c r="H19" s="48">
        <f t="shared" si="0"/>
        <v>-15847.979999999981</v>
      </c>
      <c r="I19" s="49"/>
      <c r="J19" s="48">
        <f>I19+ноябрь!J19</f>
        <v>0</v>
      </c>
      <c r="K19" s="47"/>
      <c r="L19" s="48">
        <f>K19+ноябрь!L19</f>
        <v>0</v>
      </c>
    </row>
    <row r="20" spans="1:12" s="45" customFormat="1" ht="16.5" customHeight="1">
      <c r="A20" s="46">
        <f t="shared" si="1"/>
        <v>18</v>
      </c>
      <c r="B20" s="38" t="str">
        <f>ноябрь!B20</f>
        <v>Горячее водоснабж.(о/д нужды)</v>
      </c>
      <c r="C20" s="8">
        <f>1082.54+150.05</f>
        <v>1232.5899999999999</v>
      </c>
      <c r="D20" s="48">
        <f>C20+ноябрь!D20</f>
        <v>11537.6</v>
      </c>
      <c r="E20" s="49">
        <f>1084.24+149.29</f>
        <v>1233.53</v>
      </c>
      <c r="F20" s="48">
        <f>E20+ноябрь!F20</f>
        <v>10601.67</v>
      </c>
      <c r="G20" s="48">
        <f t="shared" si="0"/>
        <v>0.94000000000005457</v>
      </c>
      <c r="H20" s="48">
        <f t="shared" si="0"/>
        <v>-935.93000000000029</v>
      </c>
      <c r="I20" s="49"/>
      <c r="J20" s="48">
        <f>I20+ноябрь!J20</f>
        <v>0</v>
      </c>
      <c r="K20" s="47"/>
      <c r="L20" s="48">
        <f>K20+ноябрь!L20</f>
        <v>0</v>
      </c>
    </row>
    <row r="21" spans="1:12" s="45" customFormat="1" ht="15.75" customHeight="1">
      <c r="A21" s="46">
        <f t="shared" si="1"/>
        <v>19</v>
      </c>
      <c r="B21" s="38" t="str">
        <f>ноябрь!B21</f>
        <v>Холодное водоснабж.(О/д нужд)</v>
      </c>
      <c r="C21" s="8">
        <f>438.76+59.92</f>
        <v>498.68</v>
      </c>
      <c r="D21" s="48">
        <f>C21+ноябрь!D21</f>
        <v>4567.8100000000004</v>
      </c>
      <c r="E21" s="49">
        <f>497+59.13</f>
        <v>556.13</v>
      </c>
      <c r="F21" s="48">
        <f>E21+ноябрь!F21</f>
        <v>5117.1499999999996</v>
      </c>
      <c r="G21" s="48">
        <f t="shared" si="0"/>
        <v>57.449999999999989</v>
      </c>
      <c r="H21" s="48">
        <f t="shared" si="0"/>
        <v>549.33999999999924</v>
      </c>
      <c r="I21" s="49"/>
      <c r="J21" s="48">
        <f>I21+ноябрь!J21</f>
        <v>0</v>
      </c>
      <c r="K21" s="47"/>
      <c r="L21" s="48">
        <f>K21+ноябрь!L21</f>
        <v>0</v>
      </c>
    </row>
    <row r="22" spans="1:12" s="45" customFormat="1">
      <c r="A22" s="46">
        <f t="shared" si="1"/>
        <v>20</v>
      </c>
      <c r="B22" s="38">
        <f>ноябрь!B22</f>
        <v>0</v>
      </c>
      <c r="C22" s="8">
        <f t="shared" ref="C22:E22" si="5">0+0</f>
        <v>0</v>
      </c>
      <c r="D22" s="48">
        <f>C22+ноябрь!D22</f>
        <v>0</v>
      </c>
      <c r="E22" s="8">
        <f t="shared" si="5"/>
        <v>0</v>
      </c>
      <c r="F22" s="48">
        <f>E22+ноябрь!F22</f>
        <v>0</v>
      </c>
      <c r="G22" s="48">
        <f t="shared" si="0"/>
        <v>0</v>
      </c>
      <c r="H22" s="48">
        <f t="shared" si="0"/>
        <v>0</v>
      </c>
      <c r="I22" s="49"/>
      <c r="J22" s="48">
        <f>I22+ноябрь!J22</f>
        <v>0</v>
      </c>
      <c r="K22" s="47"/>
      <c r="L22" s="48">
        <f>K22+ноябрь!L22</f>
        <v>0</v>
      </c>
    </row>
    <row r="23" spans="1:12" s="45" customFormat="1" ht="14.25">
      <c r="A23" s="51"/>
      <c r="B23" s="52" t="s">
        <v>12</v>
      </c>
      <c r="C23" s="53">
        <f t="shared" ref="C23:L23" si="6">SUM(C3:C22)</f>
        <v>452282.1</v>
      </c>
      <c r="D23" s="53">
        <f t="shared" si="6"/>
        <v>3932234.5299999993</v>
      </c>
      <c r="E23" s="53">
        <f t="shared" si="6"/>
        <v>415758.89000000007</v>
      </c>
      <c r="F23" s="53">
        <f t="shared" si="6"/>
        <v>4090904.6700000004</v>
      </c>
      <c r="G23" s="53">
        <f t="shared" si="6"/>
        <v>-36523.209999999977</v>
      </c>
      <c r="H23" s="53">
        <f t="shared" si="6"/>
        <v>158670.14000000019</v>
      </c>
      <c r="I23" s="53">
        <f t="shared" si="6"/>
        <v>0</v>
      </c>
      <c r="J23" s="53">
        <f t="shared" si="6"/>
        <v>0</v>
      </c>
      <c r="K23" s="53">
        <f t="shared" si="6"/>
        <v>0</v>
      </c>
      <c r="L23" s="53">
        <f t="shared" si="6"/>
        <v>0</v>
      </c>
    </row>
    <row r="24" spans="1:12" ht="7.5" customHeight="1"/>
    <row r="25" spans="1:12" hidden="1"/>
    <row r="26" spans="1:12">
      <c r="B26" s="56" t="s">
        <v>35</v>
      </c>
      <c r="C26" s="57">
        <f>C9+C10+C11+C15+C17+C21</f>
        <v>69707.12999999999</v>
      </c>
      <c r="D26" s="57">
        <f t="shared" ref="D26:J26" si="7">D9+D10+D11+D15+D17+D21</f>
        <v>718389.33000000007</v>
      </c>
      <c r="E26" s="57">
        <f t="shared" si="7"/>
        <v>73105.25</v>
      </c>
      <c r="F26" s="57">
        <f t="shared" si="7"/>
        <v>757055.79</v>
      </c>
      <c r="G26" s="57">
        <f t="shared" si="7"/>
        <v>3398.120000000009</v>
      </c>
      <c r="H26" s="57">
        <f t="shared" si="7"/>
        <v>38666.459999999948</v>
      </c>
      <c r="I26" s="57">
        <f t="shared" si="7"/>
        <v>0</v>
      </c>
      <c r="J26" s="57">
        <f t="shared" si="7"/>
        <v>0</v>
      </c>
    </row>
    <row r="27" spans="1:12">
      <c r="B27" s="56" t="s">
        <v>36</v>
      </c>
      <c r="C27" s="57">
        <f t="shared" ref="C27:J27" si="8">C8+C19</f>
        <v>83278.13</v>
      </c>
      <c r="D27" s="57">
        <f t="shared" si="8"/>
        <v>735098.73</v>
      </c>
      <c r="E27" s="57">
        <f t="shared" si="8"/>
        <v>73097.48000000001</v>
      </c>
      <c r="F27" s="57">
        <f t="shared" si="8"/>
        <v>748472.02</v>
      </c>
      <c r="G27" s="57">
        <f t="shared" si="8"/>
        <v>-10180.649999999994</v>
      </c>
      <c r="H27" s="57">
        <f t="shared" si="8"/>
        <v>13373.290000000037</v>
      </c>
      <c r="I27" s="57">
        <f t="shared" si="8"/>
        <v>0</v>
      </c>
      <c r="J27" s="57">
        <f t="shared" si="8"/>
        <v>0</v>
      </c>
    </row>
    <row r="28" spans="1:12">
      <c r="B28" s="56" t="s">
        <v>37</v>
      </c>
      <c r="C28" s="57">
        <f>C5+C4+C20+C18</f>
        <v>212390.96000000002</v>
      </c>
      <c r="D28" s="57">
        <f>D5+D4+D20+D18</f>
        <v>1558863.0300000003</v>
      </c>
      <c r="E28" s="57">
        <f t="shared" ref="E28:H28" si="9">E5+E4+E20+E18</f>
        <v>183040.02000000002</v>
      </c>
      <c r="F28" s="57">
        <f t="shared" si="9"/>
        <v>1675330.6199999999</v>
      </c>
      <c r="G28" s="57">
        <f t="shared" si="9"/>
        <v>-29350.94</v>
      </c>
      <c r="H28" s="57">
        <f t="shared" si="9"/>
        <v>116467.59000000005</v>
      </c>
      <c r="I28" s="57">
        <f t="shared" ref="I28:J28" si="10">I5+I4+I20+I18</f>
        <v>0</v>
      </c>
      <c r="J28" s="57">
        <f t="shared" si="10"/>
        <v>0</v>
      </c>
    </row>
    <row r="29" spans="1:12">
      <c r="B29" s="59" t="s">
        <v>34</v>
      </c>
      <c r="C29" s="57">
        <f>C3+C7+C12+C13+C14+C16</f>
        <v>86905.88</v>
      </c>
      <c r="D29" s="57">
        <f t="shared" ref="D29:H29" si="11">D3+D7+D12+D13+D14+D16</f>
        <v>919971.2799999998</v>
      </c>
      <c r="E29" s="57">
        <f t="shared" si="11"/>
        <v>86516.14</v>
      </c>
      <c r="F29" s="57">
        <f t="shared" si="11"/>
        <v>910046.24000000011</v>
      </c>
      <c r="G29" s="57">
        <f t="shared" si="11"/>
        <v>-389.73999999999842</v>
      </c>
      <c r="H29" s="57">
        <f t="shared" si="11"/>
        <v>-9925.039999999859</v>
      </c>
    </row>
    <row r="31" spans="1:12">
      <c r="C31" s="65">
        <v>396676.46</v>
      </c>
      <c r="D31" s="71">
        <v>365908.65</v>
      </c>
    </row>
    <row r="32" spans="1:12">
      <c r="C32" s="65">
        <v>55605.64</v>
      </c>
      <c r="D32" s="71">
        <v>49850.239999999998</v>
      </c>
    </row>
    <row r="33" spans="3:5">
      <c r="C33" s="66">
        <f>C31+C32</f>
        <v>452282.10000000003</v>
      </c>
      <c r="D33" s="66">
        <f>D31+D32</f>
        <v>415758.89</v>
      </c>
      <c r="E33" s="72">
        <f>E23-D33</f>
        <v>0</v>
      </c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3:L24"/>
  <sheetViews>
    <sheetView workbookViewId="0">
      <selection activeCell="D12" sqref="D12"/>
    </sheetView>
  </sheetViews>
  <sheetFormatPr defaultRowHeight="12.75"/>
  <cols>
    <col min="1" max="1" width="4.140625" customWidth="1"/>
    <col min="2" max="2" width="21" customWidth="1"/>
    <col min="8" max="8" width="10.42578125" customWidth="1"/>
  </cols>
  <sheetData>
    <row r="3" spans="1:12">
      <c r="A3" s="1" t="s">
        <v>0</v>
      </c>
      <c r="B3" s="5" t="s">
        <v>1</v>
      </c>
      <c r="C3" s="4" t="s">
        <v>2</v>
      </c>
      <c r="D3" s="5" t="s">
        <v>3</v>
      </c>
      <c r="E3" s="6" t="s">
        <v>4</v>
      </c>
      <c r="F3" s="5" t="s">
        <v>5</v>
      </c>
      <c r="G3" s="5" t="s">
        <v>6</v>
      </c>
      <c r="H3" s="6" t="s">
        <v>7</v>
      </c>
      <c r="I3" s="6" t="s">
        <v>8</v>
      </c>
      <c r="J3" s="6" t="s">
        <v>9</v>
      </c>
      <c r="K3" s="5" t="s">
        <v>10</v>
      </c>
      <c r="L3" s="5" t="s">
        <v>11</v>
      </c>
    </row>
    <row r="4" spans="1:12">
      <c r="A4" s="1">
        <v>1</v>
      </c>
      <c r="B4" s="7" t="s">
        <v>13</v>
      </c>
      <c r="C4" s="3">
        <f>37433.35+20303.28</f>
        <v>57736.63</v>
      </c>
      <c r="D4" s="3" t="e">
        <f>#REF!+Январь!C4</f>
        <v>#REF!</v>
      </c>
      <c r="E4" s="2">
        <f>25078.04+5600.74</f>
        <v>30678.78</v>
      </c>
      <c r="F4" s="3" t="e">
        <f>#REF!+Январь!E4</f>
        <v>#REF!</v>
      </c>
      <c r="G4" s="3">
        <f>E4-C4</f>
        <v>-27057.85</v>
      </c>
      <c r="H4" s="2" t="e">
        <f>F4-D4</f>
        <v>#REF!</v>
      </c>
      <c r="I4" s="2"/>
      <c r="J4" s="2" t="e">
        <f>#REF!+Январь!I4</f>
        <v>#REF!</v>
      </c>
      <c r="K4" s="3"/>
      <c r="L4" s="3" t="e">
        <f>K4+#REF!</f>
        <v>#REF!</v>
      </c>
    </row>
    <row r="5" spans="1:12">
      <c r="A5" s="1">
        <f>A4+1</f>
        <v>2</v>
      </c>
      <c r="B5" s="7"/>
      <c r="C5" s="3"/>
      <c r="D5" s="3"/>
      <c r="E5" s="2"/>
      <c r="F5" s="3"/>
      <c r="G5" s="3"/>
      <c r="H5" s="2"/>
      <c r="I5" s="2"/>
      <c r="J5" s="2"/>
      <c r="K5" s="3"/>
      <c r="L5" s="3"/>
    </row>
    <row r="6" spans="1:12">
      <c r="A6" s="1">
        <f t="shared" ref="A6:A23" si="0">A5+1</f>
        <v>3</v>
      </c>
      <c r="B6" s="7"/>
      <c r="C6" s="3"/>
      <c r="D6" s="3"/>
      <c r="E6" s="2"/>
      <c r="F6" s="3"/>
      <c r="G6" s="3"/>
      <c r="H6" s="2"/>
      <c r="I6" s="2"/>
      <c r="J6" s="2"/>
      <c r="K6" s="3"/>
      <c r="L6" s="3"/>
    </row>
    <row r="7" spans="1:12">
      <c r="A7" s="1">
        <f t="shared" si="0"/>
        <v>4</v>
      </c>
      <c r="B7" s="7"/>
      <c r="C7" s="3"/>
      <c r="D7" s="3"/>
      <c r="E7" s="2"/>
      <c r="F7" s="3"/>
      <c r="G7" s="3"/>
      <c r="H7" s="2"/>
      <c r="I7" s="2"/>
      <c r="J7" s="2"/>
      <c r="K7" s="3"/>
      <c r="L7" s="3"/>
    </row>
    <row r="8" spans="1:12">
      <c r="A8" s="1">
        <f t="shared" si="0"/>
        <v>5</v>
      </c>
      <c r="B8" s="7"/>
      <c r="C8" s="3"/>
      <c r="D8" s="3"/>
      <c r="E8" s="2"/>
      <c r="F8" s="3"/>
      <c r="G8" s="3"/>
      <c r="H8" s="2"/>
      <c r="I8" s="2"/>
      <c r="J8" s="2"/>
      <c r="K8" s="3"/>
      <c r="L8" s="3"/>
    </row>
    <row r="9" spans="1:12">
      <c r="A9" s="1">
        <f t="shared" si="0"/>
        <v>6</v>
      </c>
      <c r="B9" s="7"/>
      <c r="C9" s="3"/>
      <c r="D9" s="3"/>
      <c r="E9" s="2"/>
      <c r="F9" s="3"/>
      <c r="G9" s="3"/>
      <c r="H9" s="2"/>
      <c r="I9" s="2"/>
      <c r="J9" s="2"/>
      <c r="K9" s="3"/>
      <c r="L9" s="3"/>
    </row>
    <row r="10" spans="1:12">
      <c r="A10" s="1">
        <f t="shared" si="0"/>
        <v>7</v>
      </c>
      <c r="B10" s="7"/>
      <c r="C10" s="3"/>
      <c r="D10" s="3"/>
      <c r="E10" s="2"/>
      <c r="F10" s="3"/>
      <c r="G10" s="3"/>
      <c r="H10" s="2"/>
      <c r="I10" s="2"/>
      <c r="J10" s="2"/>
      <c r="K10" s="3"/>
      <c r="L10" s="3"/>
    </row>
    <row r="11" spans="1:12">
      <c r="A11" s="1">
        <f t="shared" si="0"/>
        <v>8</v>
      </c>
      <c r="B11" s="7"/>
      <c r="C11" s="3"/>
      <c r="D11" s="3"/>
      <c r="E11" s="2"/>
      <c r="F11" s="3"/>
      <c r="G11" s="3"/>
      <c r="H11" s="2"/>
      <c r="I11" s="2"/>
      <c r="J11" s="2"/>
      <c r="K11" s="3"/>
      <c r="L11" s="3"/>
    </row>
    <row r="12" spans="1:12">
      <c r="A12" s="1">
        <f t="shared" si="0"/>
        <v>9</v>
      </c>
      <c r="B12" s="7"/>
      <c r="C12" s="3"/>
      <c r="D12" s="3"/>
      <c r="E12" s="2"/>
      <c r="F12" s="3"/>
      <c r="G12" s="3"/>
      <c r="H12" s="2"/>
      <c r="I12" s="2"/>
      <c r="J12" s="2"/>
      <c r="K12" s="3"/>
      <c r="L12" s="3"/>
    </row>
    <row r="13" spans="1:12">
      <c r="A13" s="1">
        <f t="shared" si="0"/>
        <v>10</v>
      </c>
      <c r="B13" s="7"/>
      <c r="C13" s="3"/>
      <c r="D13" s="3"/>
      <c r="E13" s="2"/>
      <c r="F13" s="3"/>
      <c r="G13" s="3"/>
      <c r="H13" s="2"/>
      <c r="I13" s="2"/>
      <c r="J13" s="2"/>
      <c r="K13" s="3"/>
      <c r="L13" s="3"/>
    </row>
    <row r="14" spans="1:12">
      <c r="A14" s="1">
        <f t="shared" si="0"/>
        <v>11</v>
      </c>
      <c r="B14" s="7"/>
      <c r="C14" s="3"/>
      <c r="D14" s="3"/>
      <c r="E14" s="2"/>
      <c r="F14" s="3"/>
      <c r="G14" s="3"/>
      <c r="H14" s="2"/>
      <c r="I14" s="2"/>
      <c r="J14" s="2"/>
      <c r="K14" s="3"/>
      <c r="L14" s="3"/>
    </row>
    <row r="15" spans="1:12">
      <c r="A15" s="1">
        <f t="shared" si="0"/>
        <v>12</v>
      </c>
      <c r="B15" s="7"/>
      <c r="C15" s="3"/>
      <c r="D15" s="3"/>
      <c r="E15" s="2"/>
      <c r="F15" s="3"/>
      <c r="G15" s="3"/>
      <c r="H15" s="2"/>
      <c r="I15" s="2"/>
      <c r="J15" s="2"/>
      <c r="K15" s="3"/>
      <c r="L15" s="3"/>
    </row>
    <row r="16" spans="1:12">
      <c r="A16" s="1">
        <f t="shared" si="0"/>
        <v>13</v>
      </c>
      <c r="B16" s="7"/>
      <c r="C16" s="3"/>
      <c r="D16" s="3"/>
      <c r="E16" s="2"/>
      <c r="F16" s="3"/>
      <c r="G16" s="3"/>
      <c r="H16" s="2"/>
      <c r="I16" s="2"/>
      <c r="J16" s="2"/>
      <c r="K16" s="3"/>
      <c r="L16" s="3"/>
    </row>
    <row r="17" spans="1:12">
      <c r="A17" s="1">
        <f t="shared" si="0"/>
        <v>14</v>
      </c>
      <c r="B17" s="7"/>
      <c r="C17" s="3"/>
      <c r="D17" s="3"/>
      <c r="E17" s="2"/>
      <c r="F17" s="3"/>
      <c r="G17" s="3"/>
      <c r="H17" s="2"/>
      <c r="I17" s="2"/>
      <c r="J17" s="2"/>
      <c r="K17" s="3"/>
      <c r="L17" s="3"/>
    </row>
    <row r="18" spans="1:12">
      <c r="A18" s="1">
        <f t="shared" si="0"/>
        <v>15</v>
      </c>
      <c r="B18" s="7"/>
      <c r="C18" s="3"/>
      <c r="D18" s="3"/>
      <c r="E18" s="2"/>
      <c r="F18" s="3"/>
      <c r="G18" s="3"/>
      <c r="H18" s="2"/>
      <c r="I18" s="2"/>
      <c r="J18" s="2"/>
      <c r="K18" s="3"/>
      <c r="L18" s="3"/>
    </row>
    <row r="19" spans="1:12">
      <c r="A19" s="1">
        <f t="shared" si="0"/>
        <v>16</v>
      </c>
      <c r="B19" s="7"/>
      <c r="C19" s="3"/>
      <c r="D19" s="3"/>
      <c r="E19" s="2"/>
      <c r="F19" s="3"/>
      <c r="G19" s="3"/>
      <c r="H19" s="2"/>
      <c r="I19" s="2"/>
      <c r="J19" s="2"/>
      <c r="K19" s="3"/>
      <c r="L19" s="3"/>
    </row>
    <row r="20" spans="1:12">
      <c r="A20" s="1">
        <f t="shared" si="0"/>
        <v>17</v>
      </c>
      <c r="B20" s="7"/>
      <c r="C20" s="3"/>
      <c r="D20" s="3"/>
      <c r="E20" s="2"/>
      <c r="F20" s="3"/>
      <c r="G20" s="3"/>
      <c r="H20" s="2"/>
      <c r="I20" s="2"/>
      <c r="J20" s="2"/>
      <c r="K20" s="3"/>
      <c r="L20" s="3"/>
    </row>
    <row r="21" spans="1:12">
      <c r="A21" s="1">
        <f t="shared" si="0"/>
        <v>18</v>
      </c>
      <c r="B21" s="7"/>
      <c r="C21" s="3"/>
      <c r="D21" s="3"/>
      <c r="E21" s="2"/>
      <c r="F21" s="3"/>
      <c r="G21" s="3"/>
      <c r="H21" s="2"/>
      <c r="I21" s="2"/>
      <c r="J21" s="2"/>
      <c r="K21" s="3"/>
      <c r="L21" s="3"/>
    </row>
    <row r="22" spans="1:12">
      <c r="A22" s="1">
        <f t="shared" si="0"/>
        <v>19</v>
      </c>
      <c r="B22" s="7"/>
      <c r="C22" s="3"/>
      <c r="D22" s="3"/>
      <c r="E22" s="2"/>
      <c r="F22" s="3"/>
      <c r="G22" s="3"/>
      <c r="H22" s="2"/>
      <c r="I22" s="2"/>
      <c r="J22" s="2"/>
      <c r="K22" s="3"/>
      <c r="L22" s="3"/>
    </row>
    <row r="23" spans="1:12">
      <c r="A23" s="1">
        <f t="shared" si="0"/>
        <v>20</v>
      </c>
      <c r="B23" s="7"/>
      <c r="C23" s="3"/>
      <c r="D23" s="3"/>
      <c r="E23" s="2"/>
      <c r="F23" s="3"/>
      <c r="G23" s="3"/>
      <c r="H23" s="2"/>
      <c r="I23" s="2"/>
      <c r="J23" s="2"/>
      <c r="K23" s="3"/>
      <c r="L23" s="3"/>
    </row>
    <row r="24" spans="1:12">
      <c r="A24" s="1"/>
      <c r="B24" s="7" t="s">
        <v>12</v>
      </c>
      <c r="C24" s="3">
        <f t="shared" ref="C24:L24" si="1">SUM(C4:C23)</f>
        <v>57736.63</v>
      </c>
      <c r="D24" s="3" t="e">
        <f t="shared" si="1"/>
        <v>#REF!</v>
      </c>
      <c r="E24" s="2">
        <f t="shared" si="1"/>
        <v>30678.78</v>
      </c>
      <c r="F24" s="3" t="e">
        <f t="shared" si="1"/>
        <v>#REF!</v>
      </c>
      <c r="G24" s="3">
        <f t="shared" si="1"/>
        <v>-27057.85</v>
      </c>
      <c r="H24" s="2" t="e">
        <f t="shared" si="1"/>
        <v>#REF!</v>
      </c>
      <c r="I24" s="2">
        <f t="shared" si="1"/>
        <v>0</v>
      </c>
      <c r="J24" s="2" t="e">
        <f t="shared" si="1"/>
        <v>#REF!</v>
      </c>
      <c r="K24" s="3">
        <f t="shared" si="1"/>
        <v>0</v>
      </c>
      <c r="L24" s="3" t="e">
        <f t="shared" si="1"/>
        <v>#REF!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L28"/>
  <sheetViews>
    <sheetView workbookViewId="0">
      <selection activeCell="C38" sqref="C38"/>
    </sheetView>
  </sheetViews>
  <sheetFormatPr defaultRowHeight="12.75"/>
  <cols>
    <col min="1" max="1" width="4" customWidth="1"/>
    <col min="2" max="2" width="33.28515625" customWidth="1"/>
    <col min="3" max="3" width="10.42578125" customWidth="1"/>
    <col min="4" max="4" width="10.5703125" customWidth="1"/>
    <col min="5" max="5" width="10.42578125" customWidth="1"/>
    <col min="6" max="6" width="11.28515625" customWidth="1"/>
    <col min="7" max="7" width="11.7109375" customWidth="1"/>
    <col min="8" max="8" width="12" customWidth="1"/>
    <col min="9" max="9" width="10.140625" bestFit="1" customWidth="1"/>
    <col min="10" max="10" width="11.140625" customWidth="1"/>
    <col min="11" max="11" width="10.140625" bestFit="1" customWidth="1"/>
    <col min="12" max="12" width="10.7109375" customWidth="1"/>
  </cols>
  <sheetData>
    <row r="2" spans="1:12" s="45" customFormat="1" ht="38.25">
      <c r="A2" s="46" t="s">
        <v>0</v>
      </c>
      <c r="B2" s="41" t="s">
        <v>1</v>
      </c>
      <c r="C2" s="42" t="s">
        <v>2</v>
      </c>
      <c r="D2" s="43" t="s">
        <v>3</v>
      </c>
      <c r="E2" s="41" t="s">
        <v>4</v>
      </c>
      <c r="F2" s="43" t="s">
        <v>5</v>
      </c>
      <c r="G2" s="43" t="s">
        <v>6</v>
      </c>
      <c r="H2" s="43" t="s">
        <v>7</v>
      </c>
      <c r="I2" s="41" t="s">
        <v>8</v>
      </c>
      <c r="J2" s="43" t="s">
        <v>9</v>
      </c>
      <c r="K2" s="41" t="s">
        <v>10</v>
      </c>
      <c r="L2" s="43" t="s">
        <v>11</v>
      </c>
    </row>
    <row r="3" spans="1:12" s="45" customFormat="1">
      <c r="A3" s="46">
        <v>1</v>
      </c>
      <c r="B3" s="39" t="str">
        <f>Январь!B3</f>
        <v>Содержание общ.имущ.дома</v>
      </c>
      <c r="C3" s="47">
        <v>39804.129999999997</v>
      </c>
      <c r="D3" s="48">
        <f>C3+Январь!D3</f>
        <v>79602.079999999987</v>
      </c>
      <c r="E3" s="47">
        <v>31866.15</v>
      </c>
      <c r="F3" s="48">
        <f>E3+Январь!F3</f>
        <v>65148.37</v>
      </c>
      <c r="G3" s="48">
        <f>E3-C3</f>
        <v>-7937.9799999999959</v>
      </c>
      <c r="H3" s="48">
        <f>F3-D3</f>
        <v>-14453.709999999985</v>
      </c>
      <c r="I3" s="47"/>
      <c r="J3" s="48">
        <f>I3+Январь!J3</f>
        <v>0</v>
      </c>
      <c r="K3" s="47"/>
      <c r="L3" s="48">
        <f>K3+Январь!L3</f>
        <v>0</v>
      </c>
    </row>
    <row r="4" spans="1:12" s="45" customFormat="1">
      <c r="A4" s="46">
        <f>A3+1</f>
        <v>2</v>
      </c>
      <c r="B4" s="39" t="str">
        <f>Январь!B4</f>
        <v>Отопление</v>
      </c>
      <c r="C4" s="47">
        <v>167613.9</v>
      </c>
      <c r="D4" s="48">
        <f>C4+Январь!D4</f>
        <v>335082.14</v>
      </c>
      <c r="E4" s="47">
        <v>128585.75</v>
      </c>
      <c r="F4" s="48">
        <f>E4+Январь!F4</f>
        <v>243597.9</v>
      </c>
      <c r="G4" s="48">
        <f t="shared" ref="G4:H22" si="0">E4-C4</f>
        <v>-39028.149999999994</v>
      </c>
      <c r="H4" s="48">
        <f t="shared" si="0"/>
        <v>-91484.24000000002</v>
      </c>
      <c r="I4" s="47"/>
      <c r="J4" s="48">
        <f>I4+Январь!J4</f>
        <v>0</v>
      </c>
      <c r="K4" s="47"/>
      <c r="L4" s="48">
        <f>K4+Январь!L4</f>
        <v>0</v>
      </c>
    </row>
    <row r="5" spans="1:12" s="45" customFormat="1">
      <c r="A5" s="46">
        <f t="shared" ref="A5:A22" si="1">A4+1</f>
        <v>3</v>
      </c>
      <c r="B5" s="39" t="str">
        <f>Январь!B5</f>
        <v>Горячее водоснабжение</v>
      </c>
      <c r="C5" s="47">
        <v>63430</v>
      </c>
      <c r="D5" s="48">
        <f>C5+Январь!D5</f>
        <v>126176.48000000001</v>
      </c>
      <c r="E5" s="47">
        <v>48609.42</v>
      </c>
      <c r="F5" s="48">
        <f>E5+Январь!F5</f>
        <v>101152.17</v>
      </c>
      <c r="G5" s="48">
        <f t="shared" si="0"/>
        <v>-14820.580000000002</v>
      </c>
      <c r="H5" s="48">
        <f t="shared" si="0"/>
        <v>-25024.310000000012</v>
      </c>
      <c r="I5" s="47"/>
      <c r="J5" s="48">
        <f>I5+Январь!J5</f>
        <v>0</v>
      </c>
      <c r="K5" s="47"/>
      <c r="L5" s="48">
        <f>K5+Январь!L5</f>
        <v>0</v>
      </c>
    </row>
    <row r="6" spans="1:12" s="45" customFormat="1">
      <c r="A6" s="46">
        <f t="shared" si="1"/>
        <v>4</v>
      </c>
      <c r="B6" s="39" t="str">
        <f>Январь!B6</f>
        <v>Газ</v>
      </c>
      <c r="C6" s="47">
        <v>0</v>
      </c>
      <c r="D6" s="48">
        <f>C6+Январь!D6</f>
        <v>0</v>
      </c>
      <c r="E6" s="47">
        <v>0</v>
      </c>
      <c r="F6" s="48">
        <f>E6+Январь!F6</f>
        <v>0</v>
      </c>
      <c r="G6" s="48">
        <f t="shared" si="0"/>
        <v>0</v>
      </c>
      <c r="H6" s="48">
        <f t="shared" si="0"/>
        <v>0</v>
      </c>
      <c r="I6" s="47"/>
      <c r="J6" s="48">
        <f>I6+Январь!J6</f>
        <v>0</v>
      </c>
      <c r="K6" s="47"/>
      <c r="L6" s="48">
        <f>K6+Январь!L6</f>
        <v>0</v>
      </c>
    </row>
    <row r="7" spans="1:12" s="45" customFormat="1" ht="16.5" customHeight="1">
      <c r="A7" s="46">
        <f t="shared" si="1"/>
        <v>5</v>
      </c>
      <c r="B7" s="39" t="str">
        <f>Январь!B7</f>
        <v>Уборка и сан.очистка зем.участка</v>
      </c>
      <c r="C7" s="47">
        <v>5460.44</v>
      </c>
      <c r="D7" s="48">
        <f>C7+Январь!D7</f>
        <v>10918.25</v>
      </c>
      <c r="E7" s="47">
        <v>4391.1400000000003</v>
      </c>
      <c r="F7" s="48">
        <f>E7+Январь!F7</f>
        <v>9053.7200000000012</v>
      </c>
      <c r="G7" s="48">
        <f t="shared" si="0"/>
        <v>-1069.2999999999993</v>
      </c>
      <c r="H7" s="48">
        <f t="shared" si="0"/>
        <v>-1864.5299999999988</v>
      </c>
      <c r="I7" s="47"/>
      <c r="J7" s="48">
        <f>I7+Январь!J7</f>
        <v>0</v>
      </c>
      <c r="K7" s="47"/>
      <c r="L7" s="48">
        <f>K7+Январь!L7</f>
        <v>0</v>
      </c>
    </row>
    <row r="8" spans="1:12" s="45" customFormat="1" ht="18" customHeight="1">
      <c r="A8" s="46">
        <f t="shared" si="1"/>
        <v>6</v>
      </c>
      <c r="B8" s="39" t="str">
        <f>Январь!B8</f>
        <v>Электроснабжение(инд.потребление)</v>
      </c>
      <c r="C8" s="47">
        <v>38433.74</v>
      </c>
      <c r="D8" s="48">
        <f>C8+Январь!D8</f>
        <v>77922.63</v>
      </c>
      <c r="E8" s="47">
        <v>32775.360000000001</v>
      </c>
      <c r="F8" s="48">
        <f>E8+Январь!F8</f>
        <v>67860.95</v>
      </c>
      <c r="G8" s="48">
        <f t="shared" si="0"/>
        <v>-5658.3799999999974</v>
      </c>
      <c r="H8" s="48">
        <f t="shared" si="0"/>
        <v>-10061.680000000008</v>
      </c>
      <c r="I8" s="9"/>
      <c r="J8" s="48">
        <f>I8+Январь!J8</f>
        <v>0</v>
      </c>
      <c r="K8" s="47"/>
      <c r="L8" s="48">
        <f>K8+Январь!L8</f>
        <v>0</v>
      </c>
    </row>
    <row r="9" spans="1:12" s="45" customFormat="1">
      <c r="A9" s="46">
        <f t="shared" si="1"/>
        <v>7</v>
      </c>
      <c r="B9" s="39" t="str">
        <f>Январь!B9</f>
        <v>Холодная вода</v>
      </c>
      <c r="C9" s="47">
        <v>23288.34</v>
      </c>
      <c r="D9" s="48">
        <f>C9+Январь!D9</f>
        <v>46299.92</v>
      </c>
      <c r="E9" s="47">
        <v>17935.48</v>
      </c>
      <c r="F9" s="48">
        <f>E9+Январь!F9</f>
        <v>37360.009999999995</v>
      </c>
      <c r="G9" s="48">
        <f t="shared" si="0"/>
        <v>-5352.8600000000006</v>
      </c>
      <c r="H9" s="48">
        <f t="shared" si="0"/>
        <v>-8939.9100000000035</v>
      </c>
      <c r="I9" s="9"/>
      <c r="J9" s="48">
        <f>I9+Январь!J9</f>
        <v>0</v>
      </c>
      <c r="K9" s="47"/>
      <c r="L9" s="48">
        <f>K9+Январь!L9</f>
        <v>0</v>
      </c>
    </row>
    <row r="10" spans="1:12" s="45" customFormat="1">
      <c r="A10" s="46">
        <f t="shared" si="1"/>
        <v>8</v>
      </c>
      <c r="B10" s="39" t="str">
        <f>Январь!B10</f>
        <v>Канализир.х.воды</v>
      </c>
      <c r="C10" s="47">
        <v>0</v>
      </c>
      <c r="D10" s="48">
        <f>C10+Январь!D10</f>
        <v>0</v>
      </c>
      <c r="E10" s="47">
        <v>8.74</v>
      </c>
      <c r="F10" s="48">
        <f>E10+Январь!F10</f>
        <v>30.67</v>
      </c>
      <c r="G10" s="48">
        <f t="shared" si="0"/>
        <v>8.74</v>
      </c>
      <c r="H10" s="48">
        <f t="shared" si="0"/>
        <v>30.67</v>
      </c>
      <c r="I10" s="9"/>
      <c r="J10" s="48">
        <f>I10+Январь!J10</f>
        <v>0</v>
      </c>
      <c r="K10" s="47"/>
      <c r="L10" s="48">
        <f>K10+Январь!L10</f>
        <v>0</v>
      </c>
    </row>
    <row r="11" spans="1:12" s="45" customFormat="1">
      <c r="A11" s="46">
        <f t="shared" si="1"/>
        <v>9</v>
      </c>
      <c r="B11" s="39" t="str">
        <f>Январь!B11</f>
        <v>Канализир.г.воды</v>
      </c>
      <c r="C11" s="47">
        <v>0</v>
      </c>
      <c r="D11" s="48">
        <f>C11+Январь!D11</f>
        <v>0</v>
      </c>
      <c r="E11" s="47">
        <v>5.95</v>
      </c>
      <c r="F11" s="48">
        <f>E11+Январь!F11</f>
        <v>20.9</v>
      </c>
      <c r="G11" s="48">
        <f t="shared" si="0"/>
        <v>5.95</v>
      </c>
      <c r="H11" s="48">
        <f t="shared" si="0"/>
        <v>20.9</v>
      </c>
      <c r="I11" s="47"/>
      <c r="J11" s="48">
        <f>I11+Январь!J11</f>
        <v>0</v>
      </c>
      <c r="K11" s="47"/>
      <c r="L11" s="48">
        <f>K11+Январь!L11</f>
        <v>0</v>
      </c>
    </row>
    <row r="12" spans="1:12" s="45" customFormat="1">
      <c r="A12" s="46">
        <f t="shared" si="1"/>
        <v>10</v>
      </c>
      <c r="B12" s="39" t="str">
        <f>Январь!B12</f>
        <v>Тек.рем.общ.имущ.дома</v>
      </c>
      <c r="C12" s="47">
        <v>20979.83</v>
      </c>
      <c r="D12" s="48">
        <f>C12+Январь!D12</f>
        <v>41949.54</v>
      </c>
      <c r="E12" s="47">
        <v>16861.740000000002</v>
      </c>
      <c r="F12" s="48">
        <f>E12+Январь!F12</f>
        <v>34762.04</v>
      </c>
      <c r="G12" s="48">
        <f t="shared" si="0"/>
        <v>-4118.09</v>
      </c>
      <c r="H12" s="48">
        <f t="shared" si="0"/>
        <v>-7187.5</v>
      </c>
      <c r="I12" s="47"/>
      <c r="J12" s="48">
        <f>I12+Январь!J12</f>
        <v>0</v>
      </c>
      <c r="K12" s="47"/>
      <c r="L12" s="48">
        <f>K12+Январь!L12</f>
        <v>0</v>
      </c>
    </row>
    <row r="13" spans="1:12" s="45" customFormat="1">
      <c r="A13" s="46">
        <f t="shared" si="1"/>
        <v>11</v>
      </c>
      <c r="B13" s="39" t="str">
        <f>Январь!B13</f>
        <v>Сод.и тек.рем.в/дом.газос.</v>
      </c>
      <c r="C13" s="47">
        <v>2335.15</v>
      </c>
      <c r="D13" s="48">
        <f>C13+Январь!D13</f>
        <v>4669.17</v>
      </c>
      <c r="E13" s="47">
        <v>1876.51</v>
      </c>
      <c r="F13" s="48">
        <f>E13+Январь!F13</f>
        <v>3868.24</v>
      </c>
      <c r="G13" s="48">
        <f t="shared" si="0"/>
        <v>-458.6400000000001</v>
      </c>
      <c r="H13" s="48">
        <f t="shared" si="0"/>
        <v>-800.93000000000029</v>
      </c>
      <c r="I13" s="47"/>
      <c r="J13" s="48">
        <f>I13+Январь!J13</f>
        <v>0</v>
      </c>
      <c r="K13" s="47"/>
      <c r="L13" s="48">
        <f>K13+Январь!L13</f>
        <v>0</v>
      </c>
    </row>
    <row r="14" spans="1:12" s="45" customFormat="1">
      <c r="A14" s="46">
        <f t="shared" si="1"/>
        <v>12</v>
      </c>
      <c r="B14" s="39" t="str">
        <f>Январь!B14</f>
        <v>Управление многокварт.</v>
      </c>
      <c r="C14" s="47">
        <v>8226.67</v>
      </c>
      <c r="D14" s="48">
        <f>C14+Январь!D14</f>
        <v>16449.370000000003</v>
      </c>
      <c r="E14" s="47">
        <v>6587.07</v>
      </c>
      <c r="F14" s="48">
        <f>E14+Январь!F14</f>
        <v>13569.689999999999</v>
      </c>
      <c r="G14" s="48">
        <f t="shared" si="0"/>
        <v>-1639.6000000000004</v>
      </c>
      <c r="H14" s="48">
        <f t="shared" si="0"/>
        <v>-2879.6800000000039</v>
      </c>
      <c r="I14" s="47"/>
      <c r="J14" s="48">
        <f>I14+Январь!J14</f>
        <v>0</v>
      </c>
      <c r="K14" s="47"/>
      <c r="L14" s="48">
        <f>K14+Январь!L14</f>
        <v>0</v>
      </c>
    </row>
    <row r="15" spans="1:12" s="45" customFormat="1">
      <c r="A15" s="46">
        <f t="shared" si="1"/>
        <v>13</v>
      </c>
      <c r="B15" s="39" t="str">
        <f>Январь!B15</f>
        <v>Водоотведение(кв)</v>
      </c>
      <c r="C15" s="47">
        <v>39583.03</v>
      </c>
      <c r="D15" s="48">
        <f>C15+Январь!D15</f>
        <v>78870.36</v>
      </c>
      <c r="E15" s="47">
        <v>30699.93</v>
      </c>
      <c r="F15" s="48">
        <f>E15+Январь!F15</f>
        <v>63999.090000000004</v>
      </c>
      <c r="G15" s="48">
        <f t="shared" si="0"/>
        <v>-8883.0999999999985</v>
      </c>
      <c r="H15" s="48">
        <f t="shared" si="0"/>
        <v>-14871.269999999997</v>
      </c>
      <c r="I15" s="47"/>
      <c r="J15" s="48">
        <f>I15+Январь!J15</f>
        <v>0</v>
      </c>
      <c r="K15" s="47"/>
      <c r="L15" s="48">
        <f>K15+Январь!L15</f>
        <v>0</v>
      </c>
    </row>
    <row r="16" spans="1:12" s="45" customFormat="1">
      <c r="A16" s="46">
        <f t="shared" si="1"/>
        <v>14</v>
      </c>
      <c r="B16" s="39" t="str">
        <f>Январь!B16</f>
        <v>Эксплуатация общ.ПУ</v>
      </c>
      <c r="C16" s="47">
        <v>2227.25</v>
      </c>
      <c r="D16" s="48">
        <f>C16+Январь!D16</f>
        <v>4453.43</v>
      </c>
      <c r="E16" s="47">
        <v>1790.97</v>
      </c>
      <c r="F16" s="48">
        <f>E16+Январь!F16</f>
        <v>3691.8900000000003</v>
      </c>
      <c r="G16" s="48">
        <f t="shared" si="0"/>
        <v>-436.28</v>
      </c>
      <c r="H16" s="48">
        <f t="shared" si="0"/>
        <v>-761.54</v>
      </c>
      <c r="I16" s="47"/>
      <c r="J16" s="48">
        <f>I16+Январь!J16</f>
        <v>0</v>
      </c>
      <c r="K16" s="47"/>
      <c r="L16" s="48">
        <f>K16+Январь!L16</f>
        <v>0</v>
      </c>
    </row>
    <row r="17" spans="1:12" s="45" customFormat="1">
      <c r="A17" s="46">
        <f t="shared" si="1"/>
        <v>15</v>
      </c>
      <c r="B17" s="39" t="str">
        <f>Январь!B17</f>
        <v>Водоотведение(о/д нужд)</v>
      </c>
      <c r="C17" s="47">
        <v>0</v>
      </c>
      <c r="D17" s="48">
        <f>C17+Январь!D17</f>
        <v>0</v>
      </c>
      <c r="E17" s="47">
        <v>0</v>
      </c>
      <c r="F17" s="48">
        <f>E17+Январь!F17</f>
        <v>0</v>
      </c>
      <c r="G17" s="48">
        <f t="shared" si="0"/>
        <v>0</v>
      </c>
      <c r="H17" s="48">
        <f t="shared" si="0"/>
        <v>0</v>
      </c>
      <c r="I17" s="47"/>
      <c r="J17" s="48">
        <f>I17+Январь!J17</f>
        <v>0</v>
      </c>
      <c r="K17" s="47"/>
      <c r="L17" s="48">
        <f>K17+Январь!L17</f>
        <v>0</v>
      </c>
    </row>
    <row r="18" spans="1:12" s="45" customFormat="1">
      <c r="A18" s="46">
        <f t="shared" si="1"/>
        <v>16</v>
      </c>
      <c r="B18" s="39" t="str">
        <f>Январь!B18</f>
        <v>Отопление(о/д нужд)</v>
      </c>
      <c r="C18" s="47">
        <v>0</v>
      </c>
      <c r="D18" s="48">
        <f>C18+Январь!D18</f>
        <v>0</v>
      </c>
      <c r="E18" s="47">
        <v>0</v>
      </c>
      <c r="F18" s="48">
        <f>E18+Январь!F18</f>
        <v>0</v>
      </c>
      <c r="G18" s="48">
        <f t="shared" si="0"/>
        <v>0</v>
      </c>
      <c r="H18" s="48">
        <f t="shared" si="0"/>
        <v>0</v>
      </c>
      <c r="I18" s="47"/>
      <c r="J18" s="48">
        <f>I18+Январь!J18</f>
        <v>0</v>
      </c>
      <c r="K18" s="47"/>
      <c r="L18" s="48">
        <f>K18+Январь!L18</f>
        <v>0</v>
      </c>
    </row>
    <row r="19" spans="1:12" s="45" customFormat="1" ht="15.75" customHeight="1">
      <c r="A19" s="46">
        <f t="shared" si="1"/>
        <v>17</v>
      </c>
      <c r="B19" s="39" t="str">
        <f>Январь!B19</f>
        <v>Электроснабжение(общед.нужды)</v>
      </c>
      <c r="C19" s="47">
        <v>41204.53</v>
      </c>
      <c r="D19" s="48">
        <f>C19+Январь!D19</f>
        <v>42194.11</v>
      </c>
      <c r="E19" s="47">
        <v>5306.28</v>
      </c>
      <c r="F19" s="48">
        <f>E19+Январь!F19</f>
        <v>29444.3</v>
      </c>
      <c r="G19" s="48">
        <f t="shared" si="0"/>
        <v>-35898.25</v>
      </c>
      <c r="H19" s="48">
        <f t="shared" si="0"/>
        <v>-12749.810000000001</v>
      </c>
      <c r="I19" s="47"/>
      <c r="J19" s="48">
        <f>I19+Январь!J19</f>
        <v>0</v>
      </c>
      <c r="K19" s="47"/>
      <c r="L19" s="48">
        <f>K19+Январь!L19</f>
        <v>0</v>
      </c>
    </row>
    <row r="20" spans="1:12" s="45" customFormat="1" ht="14.25" customHeight="1">
      <c r="A20" s="46">
        <f t="shared" si="1"/>
        <v>18</v>
      </c>
      <c r="B20" s="39" t="str">
        <f>Январь!B20</f>
        <v>Горячее водоснабж.(о/д нужды)</v>
      </c>
      <c r="C20" s="47">
        <v>756.75</v>
      </c>
      <c r="D20" s="48">
        <f>C20+Январь!D20</f>
        <v>1516.9099999999999</v>
      </c>
      <c r="E20" s="47">
        <v>857.73</v>
      </c>
      <c r="F20" s="48">
        <f>E20+Январь!F20</f>
        <v>925.91000000000008</v>
      </c>
      <c r="G20" s="48">
        <f t="shared" si="0"/>
        <v>100.98000000000002</v>
      </c>
      <c r="H20" s="48">
        <f t="shared" si="0"/>
        <v>-590.99999999999977</v>
      </c>
      <c r="I20" s="47"/>
      <c r="J20" s="48">
        <f>I20+Январь!J20</f>
        <v>0</v>
      </c>
      <c r="K20" s="47"/>
      <c r="L20" s="48">
        <f>K20+Январь!L20</f>
        <v>0</v>
      </c>
    </row>
    <row r="21" spans="1:12" s="45" customFormat="1" ht="13.5" customHeight="1">
      <c r="A21" s="46">
        <f t="shared" si="1"/>
        <v>19</v>
      </c>
      <c r="B21" s="39" t="str">
        <f>Январь!B21</f>
        <v>Хлодное водоснаб. (о/д нужды)</v>
      </c>
      <c r="C21" s="47">
        <v>289.19</v>
      </c>
      <c r="D21" s="48">
        <f>C21+Январь!D21</f>
        <v>579.78</v>
      </c>
      <c r="E21" s="47">
        <v>504.2</v>
      </c>
      <c r="F21" s="48">
        <f>E21+Январь!F21</f>
        <v>796.74</v>
      </c>
      <c r="G21" s="48">
        <f t="shared" si="0"/>
        <v>215.01</v>
      </c>
      <c r="H21" s="48">
        <f t="shared" si="0"/>
        <v>216.96000000000004</v>
      </c>
      <c r="I21" s="47"/>
      <c r="J21" s="48">
        <f>I21+Январь!J21</f>
        <v>0</v>
      </c>
      <c r="K21" s="47"/>
      <c r="L21" s="48">
        <f>K21+Январь!L21</f>
        <v>0</v>
      </c>
    </row>
    <row r="22" spans="1:12" s="45" customFormat="1">
      <c r="A22" s="46">
        <f t="shared" si="1"/>
        <v>20</v>
      </c>
      <c r="B22" s="39">
        <f>Январь!B22</f>
        <v>0</v>
      </c>
      <c r="C22" s="47">
        <v>0</v>
      </c>
      <c r="D22" s="48">
        <f>C22+Январь!D22</f>
        <v>0</v>
      </c>
      <c r="E22" s="47">
        <v>0</v>
      </c>
      <c r="F22" s="48">
        <f>E22+Январь!F22</f>
        <v>0</v>
      </c>
      <c r="G22" s="48">
        <f t="shared" si="0"/>
        <v>0</v>
      </c>
      <c r="H22" s="48">
        <f t="shared" si="0"/>
        <v>0</v>
      </c>
      <c r="I22" s="47"/>
      <c r="J22" s="48">
        <f>I22+Январь!J22</f>
        <v>0</v>
      </c>
      <c r="K22" s="47"/>
      <c r="L22" s="48">
        <f>K22+Январь!L22</f>
        <v>0</v>
      </c>
    </row>
    <row r="23" spans="1:12" s="45" customFormat="1">
      <c r="A23" s="51"/>
      <c r="B23" s="54" t="s">
        <v>12</v>
      </c>
      <c r="C23" s="48">
        <f t="shared" ref="C23:L23" si="2">SUM(C3:C22)</f>
        <v>453632.95000000013</v>
      </c>
      <c r="D23" s="48">
        <f t="shared" si="2"/>
        <v>866684.17000000016</v>
      </c>
      <c r="E23" s="48">
        <f t="shared" si="2"/>
        <v>328662.42</v>
      </c>
      <c r="F23" s="48">
        <f t="shared" si="2"/>
        <v>675282.59000000008</v>
      </c>
      <c r="G23" s="48">
        <f t="shared" si="2"/>
        <v>-124970.53</v>
      </c>
      <c r="H23" s="48">
        <f t="shared" si="2"/>
        <v>-191401.58000000002</v>
      </c>
      <c r="I23" s="48">
        <f t="shared" si="2"/>
        <v>0</v>
      </c>
      <c r="J23" s="48">
        <f t="shared" si="2"/>
        <v>0</v>
      </c>
      <c r="K23" s="48">
        <f t="shared" si="2"/>
        <v>0</v>
      </c>
      <c r="L23" s="48">
        <f t="shared" si="2"/>
        <v>0</v>
      </c>
    </row>
    <row r="26" spans="1:12">
      <c r="B26" s="1" t="s">
        <v>35</v>
      </c>
      <c r="C26" s="9">
        <f>C9+C10+C11+C15+C17+C21</f>
        <v>63160.56</v>
      </c>
      <c r="D26" s="9">
        <f t="shared" ref="D26:J26" si="3">D9+D10+D11+D15+D17+D21</f>
        <v>125750.06</v>
      </c>
      <c r="E26" s="9">
        <f t="shared" si="3"/>
        <v>49154.3</v>
      </c>
      <c r="F26" s="9">
        <f t="shared" si="3"/>
        <v>102207.41</v>
      </c>
      <c r="G26" s="9">
        <f t="shared" si="3"/>
        <v>-14006.26</v>
      </c>
      <c r="H26" s="9">
        <f t="shared" si="3"/>
        <v>-23542.65</v>
      </c>
      <c r="I26" s="9">
        <f t="shared" si="3"/>
        <v>0</v>
      </c>
      <c r="J26" s="9">
        <f t="shared" si="3"/>
        <v>0</v>
      </c>
    </row>
    <row r="27" spans="1:12">
      <c r="B27" s="1" t="s">
        <v>38</v>
      </c>
      <c r="C27" s="9">
        <f>C8+C19</f>
        <v>79638.26999999999</v>
      </c>
      <c r="D27" s="9">
        <f t="shared" ref="D27:J27" si="4">D8+D19</f>
        <v>120116.74</v>
      </c>
      <c r="E27" s="9">
        <f t="shared" si="4"/>
        <v>38081.64</v>
      </c>
      <c r="F27" s="9">
        <f t="shared" si="4"/>
        <v>97305.25</v>
      </c>
      <c r="G27" s="9">
        <f t="shared" si="4"/>
        <v>-41556.629999999997</v>
      </c>
      <c r="H27" s="9">
        <f t="shared" si="4"/>
        <v>-22811.490000000009</v>
      </c>
      <c r="I27" s="9">
        <f t="shared" si="4"/>
        <v>0</v>
      </c>
      <c r="J27" s="9">
        <f t="shared" si="4"/>
        <v>0</v>
      </c>
    </row>
    <row r="28" spans="1:12">
      <c r="B28" s="1" t="s">
        <v>39</v>
      </c>
      <c r="C28" s="9">
        <f>C4+C5+C20+C18</f>
        <v>231800.65</v>
      </c>
      <c r="D28" s="9">
        <f t="shared" ref="D28:J28" si="5">D4+D5+D20+D18</f>
        <v>462775.52999999997</v>
      </c>
      <c r="E28" s="9">
        <f t="shared" si="5"/>
        <v>178052.9</v>
      </c>
      <c r="F28" s="9">
        <f t="shared" si="5"/>
        <v>345675.98</v>
      </c>
      <c r="G28" s="9">
        <f t="shared" si="5"/>
        <v>-53747.749999999993</v>
      </c>
      <c r="H28" s="9">
        <f t="shared" si="5"/>
        <v>-117099.55000000003</v>
      </c>
      <c r="I28" s="9">
        <f t="shared" si="5"/>
        <v>0</v>
      </c>
      <c r="J28" s="9">
        <f t="shared" si="5"/>
        <v>0</v>
      </c>
    </row>
  </sheetData>
  <phoneticPr fontId="0" type="noConversion"/>
  <pageMargins left="0.17" right="0.17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L33"/>
  <sheetViews>
    <sheetView workbookViewId="0">
      <selection activeCell="D38" sqref="D38"/>
    </sheetView>
  </sheetViews>
  <sheetFormatPr defaultRowHeight="12.75"/>
  <cols>
    <col min="1" max="1" width="3.7109375" customWidth="1"/>
    <col min="2" max="2" width="33.140625" customWidth="1"/>
    <col min="3" max="3" width="10.42578125" customWidth="1"/>
    <col min="4" max="4" width="12.140625" customWidth="1"/>
    <col min="5" max="5" width="10.5703125" customWidth="1"/>
    <col min="6" max="6" width="12.5703125" customWidth="1"/>
    <col min="7" max="7" width="11.140625" customWidth="1"/>
    <col min="8" max="8" width="10.85546875" customWidth="1"/>
    <col min="9" max="9" width="10.140625" bestFit="1" customWidth="1"/>
    <col min="10" max="10" width="11.5703125" customWidth="1"/>
    <col min="11" max="11" width="10.140625" bestFit="1" customWidth="1"/>
    <col min="12" max="12" width="9.85546875" customWidth="1"/>
  </cols>
  <sheetData>
    <row r="2" spans="1:12" s="30" customFormat="1" ht="38.25">
      <c r="A2" s="17" t="s">
        <v>0</v>
      </c>
      <c r="B2" s="25" t="s">
        <v>1</v>
      </c>
      <c r="C2" s="26" t="s">
        <v>2</v>
      </c>
      <c r="D2" s="27" t="s">
        <v>3</v>
      </c>
      <c r="E2" s="28" t="s">
        <v>4</v>
      </c>
      <c r="F2" s="27" t="s">
        <v>5</v>
      </c>
      <c r="G2" s="27" t="s">
        <v>6</v>
      </c>
      <c r="H2" s="29" t="s">
        <v>7</v>
      </c>
      <c r="I2" s="28" t="s">
        <v>8</v>
      </c>
      <c r="J2" s="29" t="s">
        <v>9</v>
      </c>
      <c r="K2" s="25" t="s">
        <v>10</v>
      </c>
      <c r="L2" s="27" t="s">
        <v>11</v>
      </c>
    </row>
    <row r="3" spans="1:12">
      <c r="A3" s="1">
        <v>1</v>
      </c>
      <c r="B3" s="39" t="str">
        <f>февраль!B3</f>
        <v>Содержание общ.имущ.дома</v>
      </c>
      <c r="C3" s="8">
        <f>35533.8+4840.06</f>
        <v>40373.86</v>
      </c>
      <c r="D3" s="15">
        <f>C3+февраль!D3</f>
        <v>119975.93999999999</v>
      </c>
      <c r="E3" s="9">
        <f>31843.72+4007.96</f>
        <v>35851.68</v>
      </c>
      <c r="F3" s="15">
        <f>E3+февраль!F3</f>
        <v>101000.05</v>
      </c>
      <c r="G3" s="15">
        <f>E3-C3</f>
        <v>-4522.18</v>
      </c>
      <c r="H3" s="16">
        <f>F3-D3</f>
        <v>-18975.889999999985</v>
      </c>
      <c r="I3" s="9"/>
      <c r="J3" s="16">
        <f>I3+февраль!J3</f>
        <v>0</v>
      </c>
      <c r="K3" s="8"/>
      <c r="L3" s="15">
        <f>K3+февраль!L3</f>
        <v>0</v>
      </c>
    </row>
    <row r="4" spans="1:12">
      <c r="A4" s="1">
        <f>A3+1</f>
        <v>2</v>
      </c>
      <c r="B4" s="39" t="str">
        <f>февраль!B4</f>
        <v>Отопление</v>
      </c>
      <c r="C4" s="8">
        <f>129414.53+17627.62</f>
        <v>147042.15</v>
      </c>
      <c r="D4" s="15">
        <f>C4+февраль!D4</f>
        <v>482124.29000000004</v>
      </c>
      <c r="E4" s="9">
        <f>126971.46+15793</f>
        <v>142764.46000000002</v>
      </c>
      <c r="F4" s="15">
        <f>E4+февраль!F4</f>
        <v>386362.36</v>
      </c>
      <c r="G4" s="15">
        <f t="shared" ref="G4:H22" si="0">E4-C4</f>
        <v>-4277.6899999999732</v>
      </c>
      <c r="H4" s="16">
        <f t="shared" si="0"/>
        <v>-95761.930000000051</v>
      </c>
      <c r="I4" s="9"/>
      <c r="J4" s="16">
        <f>I4+февраль!J4</f>
        <v>0</v>
      </c>
      <c r="K4" s="8"/>
      <c r="L4" s="15">
        <f>K4+февраль!L4</f>
        <v>0</v>
      </c>
    </row>
    <row r="5" spans="1:12">
      <c r="A5" s="1">
        <f t="shared" ref="A5:A22" si="1">A4+1</f>
        <v>3</v>
      </c>
      <c r="B5" s="39" t="str">
        <f>февраль!B5</f>
        <v>Горячее водоснабжение</v>
      </c>
      <c r="C5" s="8">
        <f>58671.57+8128.16</f>
        <v>66799.73</v>
      </c>
      <c r="D5" s="15">
        <f>C5+февраль!D5</f>
        <v>192976.21000000002</v>
      </c>
      <c r="E5" s="9">
        <f>49544.64+7543.47</f>
        <v>57088.11</v>
      </c>
      <c r="F5" s="15">
        <f>E5+февраль!F5</f>
        <v>158240.28</v>
      </c>
      <c r="G5" s="15">
        <f t="shared" si="0"/>
        <v>-9711.6199999999953</v>
      </c>
      <c r="H5" s="16">
        <f t="shared" si="0"/>
        <v>-34735.930000000022</v>
      </c>
      <c r="I5" s="9"/>
      <c r="J5" s="16">
        <f>I5+февраль!J5</f>
        <v>0</v>
      </c>
      <c r="K5" s="8"/>
      <c r="L5" s="15">
        <f>K5+февраль!L5</f>
        <v>0</v>
      </c>
    </row>
    <row r="6" spans="1:12">
      <c r="A6" s="1">
        <f t="shared" si="1"/>
        <v>4</v>
      </c>
      <c r="B6" s="39" t="str">
        <f>февраль!B6</f>
        <v>Газ</v>
      </c>
      <c r="C6" s="8">
        <f>0</f>
        <v>0</v>
      </c>
      <c r="D6" s="15">
        <f>C6+февраль!D6</f>
        <v>0</v>
      </c>
      <c r="E6" s="9">
        <f>0</f>
        <v>0</v>
      </c>
      <c r="F6" s="15">
        <f>E6+февраль!F6</f>
        <v>0</v>
      </c>
      <c r="G6" s="15">
        <f t="shared" si="0"/>
        <v>0</v>
      </c>
      <c r="H6" s="16">
        <f t="shared" si="0"/>
        <v>0</v>
      </c>
      <c r="I6" s="9"/>
      <c r="J6" s="16">
        <f>I6+февраль!J6</f>
        <v>0</v>
      </c>
      <c r="K6" s="8"/>
      <c r="L6" s="15">
        <f>K6+февраль!L6</f>
        <v>0</v>
      </c>
    </row>
    <row r="7" spans="1:12" ht="12.75" customHeight="1">
      <c r="A7" s="1">
        <f t="shared" si="1"/>
        <v>5</v>
      </c>
      <c r="B7" s="39" t="str">
        <f>февраль!B7</f>
        <v>Уборка и сан.очистка зем.участка</v>
      </c>
      <c r="C7" s="8">
        <f>4874.62+663.99</f>
        <v>5538.61</v>
      </c>
      <c r="D7" s="15">
        <f>C7+февраль!D7</f>
        <v>16456.86</v>
      </c>
      <c r="E7" s="9">
        <f>4386.06+551.78</f>
        <v>4937.84</v>
      </c>
      <c r="F7" s="15">
        <f>E7+февраль!F7</f>
        <v>13991.560000000001</v>
      </c>
      <c r="G7" s="15">
        <f t="shared" si="0"/>
        <v>-600.76999999999953</v>
      </c>
      <c r="H7" s="16">
        <f t="shared" si="0"/>
        <v>-2465.2999999999993</v>
      </c>
      <c r="I7" s="9"/>
      <c r="J7" s="16">
        <f>I7+февраль!J7</f>
        <v>0</v>
      </c>
      <c r="K7" s="8"/>
      <c r="L7" s="15">
        <f>K7+февраль!L7</f>
        <v>0</v>
      </c>
    </row>
    <row r="8" spans="1:12" ht="16.5" customHeight="1">
      <c r="A8" s="1">
        <f t="shared" si="1"/>
        <v>6</v>
      </c>
      <c r="B8" s="39" t="str">
        <f>февраль!B8</f>
        <v>Электроснабжение(инд.потребление)</v>
      </c>
      <c r="C8" s="8">
        <f>36019.85+4923.4</f>
        <v>40943.25</v>
      </c>
      <c r="D8" s="15">
        <f>C8+февраль!D8</f>
        <v>118865.88</v>
      </c>
      <c r="E8" s="9">
        <f>32567.46+4194.86</f>
        <v>36762.32</v>
      </c>
      <c r="F8" s="15">
        <f>E8+февраль!F8</f>
        <v>104623.26999999999</v>
      </c>
      <c r="G8" s="15">
        <f t="shared" si="0"/>
        <v>-4180.93</v>
      </c>
      <c r="H8" s="16">
        <f t="shared" si="0"/>
        <v>-14242.610000000015</v>
      </c>
      <c r="I8" s="9"/>
      <c r="J8" s="16">
        <f>I8+февраль!J8</f>
        <v>0</v>
      </c>
      <c r="K8" s="8"/>
      <c r="L8" s="15">
        <f>K8+февраль!L8</f>
        <v>0</v>
      </c>
    </row>
    <row r="9" spans="1:12">
      <c r="A9" s="1">
        <f t="shared" si="1"/>
        <v>7</v>
      </c>
      <c r="B9" s="39" t="str">
        <f>февраль!B9</f>
        <v>Холодная вода</v>
      </c>
      <c r="C9" s="8">
        <f>21521.08+2991.75</f>
        <v>24512.83</v>
      </c>
      <c r="D9" s="15">
        <f>C9+февраль!D9</f>
        <v>70812.75</v>
      </c>
      <c r="E9" s="9">
        <f>18365.49+2778.31</f>
        <v>21143.800000000003</v>
      </c>
      <c r="F9" s="15">
        <f>E9+февраль!F9</f>
        <v>58503.81</v>
      </c>
      <c r="G9" s="15">
        <f t="shared" si="0"/>
        <v>-3369.0299999999988</v>
      </c>
      <c r="H9" s="16">
        <f t="shared" si="0"/>
        <v>-12308.940000000002</v>
      </c>
      <c r="I9" s="9"/>
      <c r="J9" s="16">
        <f>I9+февраль!J9</f>
        <v>0</v>
      </c>
      <c r="K9" s="8"/>
      <c r="L9" s="15">
        <f>K9+февраль!L9</f>
        <v>0</v>
      </c>
    </row>
    <row r="10" spans="1:12">
      <c r="A10" s="1">
        <f t="shared" si="1"/>
        <v>8</v>
      </c>
      <c r="B10" s="39" t="str">
        <f>февраль!B10</f>
        <v>Канализир.х.воды</v>
      </c>
      <c r="C10" s="8">
        <f>0</f>
        <v>0</v>
      </c>
      <c r="D10" s="15">
        <f>C10+февраль!D10</f>
        <v>0</v>
      </c>
      <c r="E10" s="9">
        <f>0+83.55</f>
        <v>83.55</v>
      </c>
      <c r="F10" s="15">
        <f>E10+февраль!F10</f>
        <v>114.22</v>
      </c>
      <c r="G10" s="15">
        <f t="shared" si="0"/>
        <v>83.55</v>
      </c>
      <c r="H10" s="16">
        <f t="shared" si="0"/>
        <v>114.22</v>
      </c>
      <c r="I10" s="9"/>
      <c r="J10" s="16">
        <f>I10+февраль!J10</f>
        <v>0</v>
      </c>
      <c r="K10" s="8"/>
      <c r="L10" s="15">
        <f>K10+февраль!L10</f>
        <v>0</v>
      </c>
    </row>
    <row r="11" spans="1:12">
      <c r="A11" s="1">
        <f t="shared" si="1"/>
        <v>9</v>
      </c>
      <c r="B11" s="39" t="str">
        <f>февраль!B11</f>
        <v>Канализир.г.воды</v>
      </c>
      <c r="C11" s="8">
        <f>0</f>
        <v>0</v>
      </c>
      <c r="D11" s="15">
        <f>C11+февраль!D11</f>
        <v>0</v>
      </c>
      <c r="E11" s="9">
        <f>0+55.11</f>
        <v>55.11</v>
      </c>
      <c r="F11" s="15">
        <f>E11+февраль!F11</f>
        <v>76.009999999999991</v>
      </c>
      <c r="G11" s="15">
        <f t="shared" si="0"/>
        <v>55.11</v>
      </c>
      <c r="H11" s="16">
        <f t="shared" si="0"/>
        <v>76.009999999999991</v>
      </c>
      <c r="I11" s="9"/>
      <c r="J11" s="16">
        <f>I11+февраль!J11</f>
        <v>0</v>
      </c>
      <c r="K11" s="8"/>
      <c r="L11" s="15">
        <f>K11+февраль!L11</f>
        <v>0</v>
      </c>
    </row>
    <row r="12" spans="1:12">
      <c r="A12" s="1">
        <f t="shared" si="1"/>
        <v>10</v>
      </c>
      <c r="B12" s="39" t="str">
        <f>февраль!B12</f>
        <v>Тек.рем.общ.имущ.дома</v>
      </c>
      <c r="C12" s="8">
        <f>18729.03+2551.1</f>
        <v>21280.129999999997</v>
      </c>
      <c r="D12" s="15">
        <f>C12+февраль!D12</f>
        <v>63229.67</v>
      </c>
      <c r="E12" s="9">
        <f>16851.84+2120.04</f>
        <v>18971.88</v>
      </c>
      <c r="F12" s="15">
        <f>E12+февраль!F12</f>
        <v>53733.919999999998</v>
      </c>
      <c r="G12" s="15">
        <f t="shared" si="0"/>
        <v>-2308.2499999999964</v>
      </c>
      <c r="H12" s="16">
        <f t="shared" si="0"/>
        <v>-9495.75</v>
      </c>
      <c r="I12" s="9"/>
      <c r="J12" s="16">
        <f>I12+февраль!J12</f>
        <v>0</v>
      </c>
      <c r="K12" s="8"/>
      <c r="L12" s="15">
        <f>K12+февраль!L12</f>
        <v>0</v>
      </c>
    </row>
    <row r="13" spans="1:12" ht="15.75" customHeight="1">
      <c r="A13" s="1">
        <f t="shared" si="1"/>
        <v>11</v>
      </c>
      <c r="B13" s="39" t="str">
        <f>февраль!B13</f>
        <v>Сод.и тек.рем.в/дом.газос.</v>
      </c>
      <c r="C13" s="8">
        <f>2084.63+283.94</f>
        <v>2368.5700000000002</v>
      </c>
      <c r="D13" s="15">
        <f>C13+февраль!D13</f>
        <v>7037.74</v>
      </c>
      <c r="E13" s="9">
        <f>1875.7+234.52</f>
        <v>2110.2200000000003</v>
      </c>
      <c r="F13" s="15">
        <f>E13+февраль!F13</f>
        <v>5978.46</v>
      </c>
      <c r="G13" s="15">
        <f t="shared" si="0"/>
        <v>-258.34999999999991</v>
      </c>
      <c r="H13" s="16">
        <f t="shared" si="0"/>
        <v>-1059.2799999999997</v>
      </c>
      <c r="I13" s="9"/>
      <c r="J13" s="16">
        <f>I13+февраль!J13</f>
        <v>0</v>
      </c>
      <c r="K13" s="8"/>
      <c r="L13" s="15">
        <f>K13+февраль!L13</f>
        <v>0</v>
      </c>
    </row>
    <row r="14" spans="1:12" ht="16.5" customHeight="1">
      <c r="A14" s="1">
        <f t="shared" si="1"/>
        <v>12</v>
      </c>
      <c r="B14" s="39" t="str">
        <f>февраль!B14</f>
        <v>Управление многокварт.</v>
      </c>
      <c r="C14" s="8">
        <f>7344.07+1000.35</f>
        <v>8344.42</v>
      </c>
      <c r="D14" s="15">
        <f>C14+февраль!D14</f>
        <v>24793.79</v>
      </c>
      <c r="E14" s="9">
        <f>6607.97+822.4</f>
        <v>7430.37</v>
      </c>
      <c r="F14" s="15">
        <f>E14+февраль!F14</f>
        <v>21000.059999999998</v>
      </c>
      <c r="G14" s="15">
        <f t="shared" si="0"/>
        <v>-914.05000000000018</v>
      </c>
      <c r="H14" s="16">
        <f t="shared" si="0"/>
        <v>-3793.7300000000032</v>
      </c>
      <c r="I14" s="9"/>
      <c r="J14" s="16">
        <f>I14+февраль!J14</f>
        <v>0</v>
      </c>
      <c r="K14" s="8"/>
      <c r="L14" s="15">
        <f>K14+февраль!L14</f>
        <v>0</v>
      </c>
    </row>
    <row r="15" spans="1:12">
      <c r="A15" s="1">
        <f t="shared" si="1"/>
        <v>13</v>
      </c>
      <c r="B15" s="39" t="str">
        <f>февраль!B15</f>
        <v>Водоотведение(кв)</v>
      </c>
      <c r="C15" s="8">
        <f>36644.47+5116.48</f>
        <v>41760.949999999997</v>
      </c>
      <c r="D15" s="15">
        <f>C15+февраль!D15</f>
        <v>120631.31</v>
      </c>
      <c r="E15" s="9">
        <f>31535.49+4608.57</f>
        <v>36144.06</v>
      </c>
      <c r="F15" s="15">
        <f>E15+февраль!F15</f>
        <v>100143.15</v>
      </c>
      <c r="G15" s="15">
        <f t="shared" si="0"/>
        <v>-5616.8899999999994</v>
      </c>
      <c r="H15" s="16">
        <f t="shared" si="0"/>
        <v>-20488.160000000003</v>
      </c>
      <c r="I15" s="9"/>
      <c r="J15" s="16">
        <f>I15+февраль!J15</f>
        <v>0</v>
      </c>
      <c r="K15" s="8"/>
      <c r="L15" s="15">
        <f>K15+февраль!L15</f>
        <v>0</v>
      </c>
    </row>
    <row r="16" spans="1:12">
      <c r="A16" s="1">
        <f t="shared" si="1"/>
        <v>14</v>
      </c>
      <c r="B16" s="39" t="str">
        <f>февраль!B16</f>
        <v>Эксплуатация общ.ПУ</v>
      </c>
      <c r="C16" s="8">
        <f>1988.3+270.83</f>
        <v>2259.13</v>
      </c>
      <c r="D16" s="15">
        <f>C16+февраль!D16</f>
        <v>6712.56</v>
      </c>
      <c r="E16" s="9">
        <f>1789.02+219.51</f>
        <v>2008.53</v>
      </c>
      <c r="F16" s="15">
        <f>E16+февраль!F16</f>
        <v>5700.42</v>
      </c>
      <c r="G16" s="15">
        <f t="shared" si="0"/>
        <v>-250.60000000000014</v>
      </c>
      <c r="H16" s="16">
        <f t="shared" si="0"/>
        <v>-1012.1400000000003</v>
      </c>
      <c r="I16" s="9"/>
      <c r="J16" s="16">
        <f>I16+февраль!J16</f>
        <v>0</v>
      </c>
      <c r="K16" s="8"/>
      <c r="L16" s="15">
        <f>K16+февраль!L16</f>
        <v>0</v>
      </c>
    </row>
    <row r="17" spans="1:12" ht="12.75" customHeight="1">
      <c r="A17" s="1">
        <f t="shared" si="1"/>
        <v>15</v>
      </c>
      <c r="B17" s="39" t="str">
        <f>февраль!B17</f>
        <v>Водоотведение(о/д нужд)</v>
      </c>
      <c r="C17" s="8">
        <v>0</v>
      </c>
      <c r="D17" s="15">
        <f>C17+февраль!D17</f>
        <v>0</v>
      </c>
      <c r="E17" s="9">
        <v>0</v>
      </c>
      <c r="F17" s="15">
        <f>E17+февраль!F17</f>
        <v>0</v>
      </c>
      <c r="G17" s="15">
        <f t="shared" si="0"/>
        <v>0</v>
      </c>
      <c r="H17" s="16">
        <f t="shared" si="0"/>
        <v>0</v>
      </c>
      <c r="I17" s="9"/>
      <c r="J17" s="16">
        <f>I17+февраль!J17</f>
        <v>0</v>
      </c>
      <c r="K17" s="8"/>
      <c r="L17" s="15">
        <f>K17+февраль!L17</f>
        <v>0</v>
      </c>
    </row>
    <row r="18" spans="1:12">
      <c r="A18" s="1">
        <f t="shared" si="1"/>
        <v>16</v>
      </c>
      <c r="B18" s="39" t="str">
        <f>февраль!B18</f>
        <v>Отопление(о/д нужд)</v>
      </c>
      <c r="C18" s="8">
        <f>0</f>
        <v>0</v>
      </c>
      <c r="D18" s="15">
        <f>C18+февраль!D18</f>
        <v>0</v>
      </c>
      <c r="E18" s="9">
        <f>0</f>
        <v>0</v>
      </c>
      <c r="F18" s="15">
        <f>E18+февраль!F18</f>
        <v>0</v>
      </c>
      <c r="G18" s="15">
        <f t="shared" si="0"/>
        <v>0</v>
      </c>
      <c r="H18" s="16">
        <f t="shared" si="0"/>
        <v>0</v>
      </c>
      <c r="I18" s="9"/>
      <c r="J18" s="16">
        <f>I18+февраль!J18</f>
        <v>0</v>
      </c>
      <c r="K18" s="8"/>
      <c r="L18" s="15">
        <f>K18+февраль!L18</f>
        <v>0</v>
      </c>
    </row>
    <row r="19" spans="1:12" ht="17.25" customHeight="1">
      <c r="A19" s="1">
        <f t="shared" si="1"/>
        <v>17</v>
      </c>
      <c r="B19" s="39" t="str">
        <f>февраль!B19</f>
        <v>Электроснабжение(общед.нужды)</v>
      </c>
      <c r="C19" s="8">
        <f>30500.61+4154.58</f>
        <v>34655.19</v>
      </c>
      <c r="D19" s="15">
        <f>C19+февраль!D19</f>
        <v>76849.3</v>
      </c>
      <c r="E19" s="9">
        <f>26894.39+3321.05</f>
        <v>30215.439999999999</v>
      </c>
      <c r="F19" s="15">
        <f>E19+февраль!F19</f>
        <v>59659.74</v>
      </c>
      <c r="G19" s="15">
        <f t="shared" si="0"/>
        <v>-4439.7500000000036</v>
      </c>
      <c r="H19" s="16">
        <f t="shared" si="0"/>
        <v>-17189.560000000005</v>
      </c>
      <c r="I19" s="9"/>
      <c r="J19" s="16">
        <f>I19+февраль!J19</f>
        <v>0</v>
      </c>
      <c r="K19" s="9"/>
      <c r="L19" s="15">
        <f>K19+февраль!L19</f>
        <v>0</v>
      </c>
    </row>
    <row r="20" spans="1:12" ht="16.5" customHeight="1">
      <c r="A20" s="1">
        <f t="shared" si="1"/>
        <v>18</v>
      </c>
      <c r="B20" s="39" t="str">
        <f>февраль!B20</f>
        <v>Горячее водоснабж.(о/д нужды)</v>
      </c>
      <c r="C20" s="8">
        <f>673.53+93.44</f>
        <v>766.97</v>
      </c>
      <c r="D20" s="15">
        <f>C20+февраль!D20</f>
        <v>2283.88</v>
      </c>
      <c r="E20" s="9">
        <f>626.96+76.21</f>
        <v>703.17000000000007</v>
      </c>
      <c r="F20" s="15">
        <f>E20+февраль!F20</f>
        <v>1629.0800000000002</v>
      </c>
      <c r="G20" s="15">
        <f t="shared" si="0"/>
        <v>-63.799999999999955</v>
      </c>
      <c r="H20" s="16">
        <f t="shared" si="0"/>
        <v>-654.79999999999995</v>
      </c>
      <c r="I20" s="9"/>
      <c r="J20" s="16">
        <f>I20+февраль!J20</f>
        <v>0</v>
      </c>
      <c r="K20" s="8"/>
      <c r="L20" s="15">
        <f>K20+февраль!L20</f>
        <v>0</v>
      </c>
    </row>
    <row r="21" spans="1:12" ht="15.75" customHeight="1">
      <c r="A21" s="1">
        <f t="shared" si="1"/>
        <v>19</v>
      </c>
      <c r="B21" s="39" t="str">
        <f>февраль!B21</f>
        <v>Хлодное водоснаб. (о/д нужды)</v>
      </c>
      <c r="C21" s="8">
        <f>258.52+34.87</f>
        <v>293.39</v>
      </c>
      <c r="D21" s="15">
        <f>C21+февраль!D21</f>
        <v>873.17</v>
      </c>
      <c r="E21" s="9">
        <f>276.93+28.14</f>
        <v>305.07</v>
      </c>
      <c r="F21" s="15">
        <f>E21+февраль!F21</f>
        <v>1101.81</v>
      </c>
      <c r="G21" s="15">
        <f t="shared" si="0"/>
        <v>11.680000000000007</v>
      </c>
      <c r="H21" s="16">
        <f t="shared" si="0"/>
        <v>228.64</v>
      </c>
      <c r="I21" s="9"/>
      <c r="J21" s="16">
        <f>I21+февраль!J21</f>
        <v>0</v>
      </c>
      <c r="K21" s="8"/>
      <c r="L21" s="15">
        <f>K21+февраль!L21</f>
        <v>0</v>
      </c>
    </row>
    <row r="22" spans="1:12">
      <c r="A22" s="1">
        <f t="shared" si="1"/>
        <v>20</v>
      </c>
      <c r="B22" s="39">
        <f>февраль!B22</f>
        <v>0</v>
      </c>
      <c r="C22" s="8"/>
      <c r="D22" s="15">
        <f>C22+февраль!D22</f>
        <v>0</v>
      </c>
      <c r="E22" s="9"/>
      <c r="F22" s="15">
        <f>E22+февраль!F22</f>
        <v>0</v>
      </c>
      <c r="G22" s="15">
        <f t="shared" si="0"/>
        <v>0</v>
      </c>
      <c r="H22" s="16">
        <f t="shared" si="0"/>
        <v>0</v>
      </c>
      <c r="I22" s="9"/>
      <c r="J22" s="16">
        <f>I22+февраль!J22</f>
        <v>0</v>
      </c>
      <c r="K22" s="8"/>
      <c r="L22" s="15">
        <f>K22+февраль!L22</f>
        <v>0</v>
      </c>
    </row>
    <row r="23" spans="1:12">
      <c r="A23" s="22"/>
      <c r="B23" s="21" t="s">
        <v>12</v>
      </c>
      <c r="C23" s="15">
        <f t="shared" ref="C23:L23" si="2">SUM(C3:C22)</f>
        <v>436939.18</v>
      </c>
      <c r="D23" s="15">
        <f t="shared" si="2"/>
        <v>1303623.3499999999</v>
      </c>
      <c r="E23" s="16">
        <f t="shared" si="2"/>
        <v>396575.60999999993</v>
      </c>
      <c r="F23" s="15">
        <f t="shared" si="2"/>
        <v>1071858.2000000002</v>
      </c>
      <c r="G23" s="15">
        <f t="shared" si="2"/>
        <v>-40363.569999999971</v>
      </c>
      <c r="H23" s="16">
        <f t="shared" si="2"/>
        <v>-231765.15000000005</v>
      </c>
      <c r="I23" s="16">
        <f t="shared" si="2"/>
        <v>0</v>
      </c>
      <c r="J23" s="16">
        <f t="shared" si="2"/>
        <v>0</v>
      </c>
      <c r="K23" s="15">
        <f t="shared" si="2"/>
        <v>0</v>
      </c>
      <c r="L23" s="15">
        <f t="shared" si="2"/>
        <v>0</v>
      </c>
    </row>
    <row r="25" spans="1:12">
      <c r="B25" s="55" t="s">
        <v>34</v>
      </c>
      <c r="C25" s="9">
        <f>C3+C7+C12+C13+C14+C16</f>
        <v>80164.720000000016</v>
      </c>
      <c r="D25" s="9">
        <f t="shared" ref="D25:H25" si="3">D3+D7+D12+D13+D14+D16</f>
        <v>238206.55999999997</v>
      </c>
      <c r="E25" s="9">
        <f t="shared" si="3"/>
        <v>71310.52</v>
      </c>
      <c r="F25" s="9">
        <f t="shared" si="3"/>
        <v>201404.47</v>
      </c>
      <c r="G25" s="9">
        <f t="shared" si="3"/>
        <v>-8854.1999999999953</v>
      </c>
      <c r="H25" s="9">
        <f t="shared" si="3"/>
        <v>-36802.089999999982</v>
      </c>
    </row>
    <row r="26" spans="1:12">
      <c r="B26" s="1" t="s">
        <v>35</v>
      </c>
      <c r="C26" s="9">
        <f>C9+C10+C11+C15+C17+C21</f>
        <v>66567.17</v>
      </c>
      <c r="D26" s="9">
        <f t="shared" ref="D26:J26" si="4">D9+D10+D11+D15+D17+D21</f>
        <v>192317.23</v>
      </c>
      <c r="E26" s="9">
        <f t="shared" si="4"/>
        <v>57731.590000000004</v>
      </c>
      <c r="F26" s="9">
        <f t="shared" si="4"/>
        <v>159939</v>
      </c>
      <c r="G26" s="9">
        <f t="shared" si="4"/>
        <v>-8835.5799999999981</v>
      </c>
      <c r="H26" s="9">
        <f t="shared" si="4"/>
        <v>-32378.230000000007</v>
      </c>
      <c r="I26" s="9">
        <f t="shared" si="4"/>
        <v>0</v>
      </c>
      <c r="J26" s="9">
        <f t="shared" si="4"/>
        <v>0</v>
      </c>
    </row>
    <row r="27" spans="1:12">
      <c r="B27" s="1" t="s">
        <v>38</v>
      </c>
      <c r="C27" s="9">
        <f>C8+C19</f>
        <v>75598.44</v>
      </c>
      <c r="D27" s="9">
        <f t="shared" ref="D27:J27" si="5">D8+D19</f>
        <v>195715.18</v>
      </c>
      <c r="E27" s="9">
        <f t="shared" si="5"/>
        <v>66977.759999999995</v>
      </c>
      <c r="F27" s="9">
        <f t="shared" si="5"/>
        <v>164283.00999999998</v>
      </c>
      <c r="G27" s="9">
        <f t="shared" si="5"/>
        <v>-8620.6800000000039</v>
      </c>
      <c r="H27" s="9">
        <f t="shared" si="5"/>
        <v>-31432.17000000002</v>
      </c>
      <c r="I27" s="9">
        <f t="shared" si="5"/>
        <v>0</v>
      </c>
      <c r="J27" s="9">
        <f t="shared" si="5"/>
        <v>0</v>
      </c>
    </row>
    <row r="28" spans="1:12">
      <c r="B28" s="1" t="s">
        <v>39</v>
      </c>
      <c r="C28" s="9">
        <f>C4+C5+C20+C18</f>
        <v>214608.85</v>
      </c>
      <c r="D28" s="9">
        <f t="shared" ref="D28:J28" si="6">D4+D5+D20+D18</f>
        <v>677384.38</v>
      </c>
      <c r="E28" s="9">
        <f t="shared" si="6"/>
        <v>200555.74000000002</v>
      </c>
      <c r="F28" s="9">
        <f t="shared" si="6"/>
        <v>546231.72</v>
      </c>
      <c r="G28" s="9">
        <f t="shared" si="6"/>
        <v>-14053.109999999968</v>
      </c>
      <c r="H28" s="9">
        <f t="shared" si="6"/>
        <v>-131152.66000000006</v>
      </c>
      <c r="I28" s="9">
        <f t="shared" si="6"/>
        <v>0</v>
      </c>
      <c r="J28" s="9">
        <f t="shared" si="6"/>
        <v>0</v>
      </c>
    </row>
    <row r="31" spans="1:12">
      <c r="I31">
        <v>384258.61</v>
      </c>
      <c r="J31">
        <v>350137.13</v>
      </c>
    </row>
    <row r="32" spans="1:12">
      <c r="I32">
        <v>52680.57</v>
      </c>
      <c r="J32">
        <v>46438.48</v>
      </c>
    </row>
    <row r="33" spans="9:10">
      <c r="I33" s="11">
        <f>I31+I32</f>
        <v>436939.18</v>
      </c>
      <c r="J33" s="11">
        <f>J31+J32</f>
        <v>396575.61</v>
      </c>
    </row>
  </sheetData>
  <phoneticPr fontId="0" type="noConversion"/>
  <pageMargins left="0.17" right="0.26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L34"/>
  <sheetViews>
    <sheetView workbookViewId="0">
      <selection activeCell="C37" sqref="C37"/>
    </sheetView>
  </sheetViews>
  <sheetFormatPr defaultRowHeight="12.75"/>
  <cols>
    <col min="1" max="1" width="3.85546875" customWidth="1"/>
    <col min="2" max="2" width="32.7109375" customWidth="1"/>
    <col min="3" max="3" width="10.7109375" customWidth="1"/>
    <col min="4" max="4" width="11.85546875" customWidth="1"/>
    <col min="5" max="5" width="10" customWidth="1"/>
    <col min="6" max="6" width="11.28515625" customWidth="1"/>
    <col min="7" max="7" width="10.28515625" customWidth="1"/>
    <col min="8" max="8" width="11.140625" customWidth="1"/>
    <col min="9" max="9" width="10.7109375" customWidth="1"/>
    <col min="10" max="10" width="11.5703125" customWidth="1"/>
    <col min="11" max="12" width="10.5703125" customWidth="1"/>
  </cols>
  <sheetData>
    <row r="2" spans="1:12">
      <c r="B2" s="11" t="s">
        <v>14</v>
      </c>
    </row>
    <row r="4" spans="1:12" ht="38.25">
      <c r="A4" s="17" t="s">
        <v>0</v>
      </c>
      <c r="B4" s="18" t="s">
        <v>1</v>
      </c>
      <c r="C4" s="19" t="s">
        <v>2</v>
      </c>
      <c r="D4" s="18" t="s">
        <v>3</v>
      </c>
      <c r="E4" s="20" t="s">
        <v>4</v>
      </c>
      <c r="F4" s="18" t="s">
        <v>5</v>
      </c>
      <c r="G4" s="18" t="s">
        <v>6</v>
      </c>
      <c r="H4" s="20" t="s">
        <v>7</v>
      </c>
      <c r="I4" s="20" t="s">
        <v>8</v>
      </c>
      <c r="J4" s="31" t="s">
        <v>9</v>
      </c>
      <c r="K4" s="18" t="s">
        <v>10</v>
      </c>
      <c r="L4" s="32" t="s">
        <v>11</v>
      </c>
    </row>
    <row r="5" spans="1:12">
      <c r="A5" s="1">
        <v>1</v>
      </c>
      <c r="B5" s="40" t="str">
        <f>март!B3</f>
        <v>Содержание общ.имущ.дома</v>
      </c>
      <c r="C5" s="8">
        <f>4840.06+35533.8</f>
        <v>40373.86</v>
      </c>
      <c r="D5" s="15">
        <v>119975.94</v>
      </c>
      <c r="E5" s="60">
        <f>3130.41+33062.77</f>
        <v>36193.179999999993</v>
      </c>
      <c r="F5" s="15">
        <f>E5+март!F3</f>
        <v>137193.22999999998</v>
      </c>
      <c r="G5" s="15">
        <f>E5-C5</f>
        <v>-4180.6800000000076</v>
      </c>
      <c r="H5" s="16">
        <f>F5-D5</f>
        <v>17217.289999999979</v>
      </c>
      <c r="I5" s="9"/>
      <c r="J5" s="16">
        <f>I5+март!J3</f>
        <v>0</v>
      </c>
      <c r="K5" s="8"/>
      <c r="L5" s="15">
        <f>K5+март!L3</f>
        <v>0</v>
      </c>
    </row>
    <row r="6" spans="1:12">
      <c r="A6" s="1">
        <f>A5+1</f>
        <v>2</v>
      </c>
      <c r="B6" s="40" t="str">
        <f>март!B4</f>
        <v>Отопление</v>
      </c>
      <c r="C6" s="8">
        <f>12549.85+92135.64</f>
        <v>104685.49</v>
      </c>
      <c r="D6" s="15">
        <v>439767.63</v>
      </c>
      <c r="E6" s="9">
        <f>120236.45+11572.46</f>
        <v>131808.91</v>
      </c>
      <c r="F6" s="15">
        <f>E6+март!F4</f>
        <v>518171.27</v>
      </c>
      <c r="G6" s="15">
        <f t="shared" ref="G6:H24" si="0">E6-C6</f>
        <v>27123.42</v>
      </c>
      <c r="H6" s="16">
        <f t="shared" si="0"/>
        <v>78403.640000000014</v>
      </c>
      <c r="I6" s="9"/>
      <c r="J6" s="16">
        <f>I6+март!J4</f>
        <v>0</v>
      </c>
      <c r="K6" s="8"/>
      <c r="L6" s="15">
        <f>K6+март!L4</f>
        <v>0</v>
      </c>
    </row>
    <row r="7" spans="1:12">
      <c r="A7" s="1">
        <f t="shared" ref="A7:A24" si="1">A6+1</f>
        <v>3</v>
      </c>
      <c r="B7" s="40" t="str">
        <f>март!B5</f>
        <v>Горячее водоснабжение</v>
      </c>
      <c r="C7" s="8">
        <f>8128.16+55387.56</f>
        <v>63515.72</v>
      </c>
      <c r="D7" s="15">
        <v>189692.2</v>
      </c>
      <c r="E7" s="9">
        <f>56853.29+5473.45</f>
        <v>62326.74</v>
      </c>
      <c r="F7" s="15">
        <f>E7+март!F5</f>
        <v>220567.02</v>
      </c>
      <c r="G7" s="15">
        <f t="shared" si="0"/>
        <v>-1188.9800000000032</v>
      </c>
      <c r="H7" s="16">
        <f t="shared" si="0"/>
        <v>30874.819999999978</v>
      </c>
      <c r="I7" s="9"/>
      <c r="J7" s="16">
        <f>I7+март!J5</f>
        <v>0</v>
      </c>
      <c r="K7" s="8"/>
      <c r="L7" s="15">
        <f>K7+март!L5</f>
        <v>0</v>
      </c>
    </row>
    <row r="8" spans="1:12">
      <c r="A8" s="1">
        <f t="shared" si="1"/>
        <v>4</v>
      </c>
      <c r="B8" s="40" t="str">
        <f>март!B6</f>
        <v>Газ</v>
      </c>
      <c r="C8" s="8">
        <f>0+0</f>
        <v>0</v>
      </c>
      <c r="D8" s="15">
        <v>0</v>
      </c>
      <c r="E8" s="9">
        <f>0+0</f>
        <v>0</v>
      </c>
      <c r="F8" s="15">
        <f>E8+март!F6</f>
        <v>0</v>
      </c>
      <c r="G8" s="15">
        <f t="shared" si="0"/>
        <v>0</v>
      </c>
      <c r="H8" s="16">
        <f t="shared" si="0"/>
        <v>0</v>
      </c>
      <c r="I8" s="9"/>
      <c r="J8" s="16">
        <f>I8+март!J6</f>
        <v>0</v>
      </c>
      <c r="K8" s="8"/>
      <c r="L8" s="15">
        <f>K8+март!L6</f>
        <v>0</v>
      </c>
    </row>
    <row r="9" spans="1:12" ht="15" customHeight="1">
      <c r="A9" s="1">
        <f t="shared" si="1"/>
        <v>5</v>
      </c>
      <c r="B9" s="40" t="str">
        <f>март!B7</f>
        <v>Уборка и сан.очистка зем.участка</v>
      </c>
      <c r="C9" s="8">
        <f>663.99+4874.62</f>
        <v>5538.61</v>
      </c>
      <c r="D9" s="15">
        <v>16456.86</v>
      </c>
      <c r="E9" s="9">
        <f>4551.28+429.44</f>
        <v>4980.7199999999993</v>
      </c>
      <c r="F9" s="15">
        <f>E9+март!F7</f>
        <v>18972.28</v>
      </c>
      <c r="G9" s="15">
        <f t="shared" si="0"/>
        <v>-557.89000000000033</v>
      </c>
      <c r="H9" s="16">
        <f t="shared" si="0"/>
        <v>2515.4199999999983</v>
      </c>
      <c r="I9" s="9"/>
      <c r="J9" s="16">
        <f>I9+март!J7</f>
        <v>0</v>
      </c>
      <c r="K9" s="8"/>
      <c r="L9" s="15">
        <f>K9+март!L7</f>
        <v>0</v>
      </c>
    </row>
    <row r="10" spans="1:12" ht="14.25" customHeight="1">
      <c r="A10" s="1">
        <f t="shared" si="1"/>
        <v>6</v>
      </c>
      <c r="B10" s="40" t="str">
        <f>март!B8</f>
        <v>Электроснабжение(инд.потребление)</v>
      </c>
      <c r="C10" s="8">
        <v>38177.65</v>
      </c>
      <c r="D10" s="15">
        <v>116100.28</v>
      </c>
      <c r="E10" s="9">
        <v>38773.01</v>
      </c>
      <c r="F10" s="15">
        <f>E10+март!F8</f>
        <v>143396.28</v>
      </c>
      <c r="G10" s="15">
        <f t="shared" si="0"/>
        <v>595.36000000000058</v>
      </c>
      <c r="H10" s="16">
        <f t="shared" si="0"/>
        <v>27296</v>
      </c>
      <c r="I10" s="9"/>
      <c r="J10" s="16">
        <f>I10+март!J8</f>
        <v>0</v>
      </c>
      <c r="K10" s="8"/>
      <c r="L10" s="15">
        <f>K10+март!L8</f>
        <v>0</v>
      </c>
    </row>
    <row r="11" spans="1:12">
      <c r="A11" s="1">
        <f t="shared" si="1"/>
        <v>7</v>
      </c>
      <c r="B11" s="40" t="str">
        <f>март!B9</f>
        <v>Холодная вода</v>
      </c>
      <c r="C11" s="8">
        <f>2991.75+20040.94</f>
        <v>23032.69</v>
      </c>
      <c r="D11" s="15">
        <v>69332.61</v>
      </c>
      <c r="E11" s="9">
        <f>21090.89+2014.62</f>
        <v>23105.51</v>
      </c>
      <c r="F11" s="15">
        <f>E11+март!F9</f>
        <v>81609.319999999992</v>
      </c>
      <c r="G11" s="15">
        <f t="shared" si="0"/>
        <v>72.819999999999709</v>
      </c>
      <c r="H11" s="16">
        <f t="shared" si="0"/>
        <v>12276.709999999992</v>
      </c>
      <c r="I11" s="9"/>
      <c r="J11" s="16">
        <f>I11+март!J9</f>
        <v>0</v>
      </c>
      <c r="K11" s="8"/>
      <c r="L11" s="15">
        <f>K11+март!L9</f>
        <v>0</v>
      </c>
    </row>
    <row r="12" spans="1:12">
      <c r="A12" s="1">
        <f t="shared" si="1"/>
        <v>8</v>
      </c>
      <c r="B12" s="40" t="str">
        <f>март!B10</f>
        <v>Канализир.х.воды</v>
      </c>
      <c r="C12" s="8">
        <f>0+0</f>
        <v>0</v>
      </c>
      <c r="D12" s="15">
        <v>0</v>
      </c>
      <c r="E12" s="9">
        <f>0+0</f>
        <v>0</v>
      </c>
      <c r="F12" s="15">
        <f>E12+март!F10</f>
        <v>114.22</v>
      </c>
      <c r="G12" s="15">
        <f t="shared" si="0"/>
        <v>0</v>
      </c>
      <c r="H12" s="16">
        <f t="shared" si="0"/>
        <v>114.22</v>
      </c>
      <c r="I12" s="9"/>
      <c r="J12" s="16">
        <f>I12+март!J10</f>
        <v>0</v>
      </c>
      <c r="K12" s="8"/>
      <c r="L12" s="15">
        <f>K12+март!L10</f>
        <v>0</v>
      </c>
    </row>
    <row r="13" spans="1:12">
      <c r="A13" s="1">
        <f t="shared" si="1"/>
        <v>9</v>
      </c>
      <c r="B13" s="40" t="str">
        <f>март!B11</f>
        <v>Канализир.г.воды</v>
      </c>
      <c r="C13" s="8">
        <f>0+0</f>
        <v>0</v>
      </c>
      <c r="D13" s="15">
        <v>0</v>
      </c>
      <c r="E13" s="9">
        <f>0+0</f>
        <v>0</v>
      </c>
      <c r="F13" s="15">
        <f>E13+март!F11</f>
        <v>76.009999999999991</v>
      </c>
      <c r="G13" s="15">
        <f t="shared" si="0"/>
        <v>0</v>
      </c>
      <c r="H13" s="16">
        <f t="shared" si="0"/>
        <v>76.009999999999991</v>
      </c>
      <c r="I13" s="9"/>
      <c r="J13" s="16">
        <f>I13+март!J11</f>
        <v>0</v>
      </c>
      <c r="K13" s="8"/>
      <c r="L13" s="15">
        <f>K13+март!L11</f>
        <v>0</v>
      </c>
    </row>
    <row r="14" spans="1:12">
      <c r="A14" s="1">
        <f t="shared" si="1"/>
        <v>10</v>
      </c>
      <c r="B14" s="40" t="str">
        <f>март!B12</f>
        <v>Тек.рем.общ.имущ.дома</v>
      </c>
      <c r="C14" s="8">
        <f>2551.1+18729.03</f>
        <v>21280.129999999997</v>
      </c>
      <c r="D14" s="15">
        <v>63229.67</v>
      </c>
      <c r="E14" s="9">
        <f>17462.89+1649.97</f>
        <v>19112.86</v>
      </c>
      <c r="F14" s="15">
        <f>E14+март!F12</f>
        <v>72846.78</v>
      </c>
      <c r="G14" s="15">
        <f t="shared" si="0"/>
        <v>-2167.2699999999968</v>
      </c>
      <c r="H14" s="16">
        <f t="shared" si="0"/>
        <v>9617.11</v>
      </c>
      <c r="I14" s="9"/>
      <c r="J14" s="16">
        <f>I14+март!J12</f>
        <v>0</v>
      </c>
      <c r="K14" s="8"/>
      <c r="L14" s="15">
        <f>K14+март!L12</f>
        <v>0</v>
      </c>
    </row>
    <row r="15" spans="1:12">
      <c r="A15" s="1">
        <f t="shared" si="1"/>
        <v>11</v>
      </c>
      <c r="B15" s="40" t="str">
        <f>март!B13</f>
        <v>Сод.и тек.рем.в/дом.газос.</v>
      </c>
      <c r="C15" s="8">
        <f>283.94+2084.63</f>
        <v>2368.5700000000002</v>
      </c>
      <c r="D15" s="15">
        <v>7037.74</v>
      </c>
      <c r="E15" s="9">
        <f>1942.66+183.64</f>
        <v>2126.3000000000002</v>
      </c>
      <c r="F15" s="15">
        <f>E15+март!F13</f>
        <v>8104.76</v>
      </c>
      <c r="G15" s="15">
        <f t="shared" si="0"/>
        <v>-242.26999999999998</v>
      </c>
      <c r="H15" s="16">
        <f t="shared" si="0"/>
        <v>1067.0200000000004</v>
      </c>
      <c r="I15" s="9"/>
      <c r="J15" s="16">
        <f>I15+март!J13</f>
        <v>0</v>
      </c>
      <c r="K15" s="8"/>
      <c r="L15" s="15">
        <f>K15+март!L13</f>
        <v>0</v>
      </c>
    </row>
    <row r="16" spans="1:12">
      <c r="A16" s="1">
        <f t="shared" si="1"/>
        <v>12</v>
      </c>
      <c r="B16" s="40" t="str">
        <f>март!B14</f>
        <v>Управление многокварт.</v>
      </c>
      <c r="C16" s="8">
        <f>1000.35+7344.07</f>
        <v>8344.42</v>
      </c>
      <c r="D16" s="15">
        <v>24793.79</v>
      </c>
      <c r="E16" s="9">
        <f>6690.37+647</f>
        <v>7337.37</v>
      </c>
      <c r="F16" s="15">
        <f>E16+март!F14</f>
        <v>28337.429999999997</v>
      </c>
      <c r="G16" s="15">
        <f t="shared" si="0"/>
        <v>-1007.0500000000002</v>
      </c>
      <c r="H16" s="16">
        <f t="shared" si="0"/>
        <v>3543.6399999999958</v>
      </c>
      <c r="I16" s="9"/>
      <c r="J16" s="16">
        <f>I16+март!J14</f>
        <v>0</v>
      </c>
      <c r="K16" s="8"/>
      <c r="L16" s="15">
        <f>K16+март!L14</f>
        <v>0</v>
      </c>
    </row>
    <row r="17" spans="1:12">
      <c r="A17" s="1">
        <f t="shared" si="1"/>
        <v>13</v>
      </c>
      <c r="B17" s="40" t="str">
        <f>март!B15</f>
        <v>Водоотведение(кв)</v>
      </c>
      <c r="C17" s="8">
        <f>5116.48+33802.44</f>
        <v>38918.92</v>
      </c>
      <c r="D17" s="15">
        <v>117789.28</v>
      </c>
      <c r="E17" s="9">
        <f>36196.7+3445.4</f>
        <v>39642.1</v>
      </c>
      <c r="F17" s="15">
        <f>E17+март!F15</f>
        <v>139785.25</v>
      </c>
      <c r="G17" s="15">
        <f t="shared" si="0"/>
        <v>723.18000000000029</v>
      </c>
      <c r="H17" s="16">
        <f t="shared" si="0"/>
        <v>21995.97</v>
      </c>
      <c r="I17" s="9"/>
      <c r="J17" s="16">
        <f>I17+март!J15</f>
        <v>0</v>
      </c>
      <c r="K17" s="8"/>
      <c r="L17" s="15">
        <f>K17+март!L15</f>
        <v>0</v>
      </c>
    </row>
    <row r="18" spans="1:12">
      <c r="A18" s="1">
        <f t="shared" si="1"/>
        <v>14</v>
      </c>
      <c r="B18" s="40" t="str">
        <f>март!B16</f>
        <v>Эксплуатация общ.ПУ</v>
      </c>
      <c r="C18" s="8">
        <f>270.83+1988.3</f>
        <v>2259.13</v>
      </c>
      <c r="D18" s="15">
        <v>6712.56</v>
      </c>
      <c r="E18" s="9">
        <f>1883.44+175.16</f>
        <v>2058.6</v>
      </c>
      <c r="F18" s="15">
        <f>E18+март!F16</f>
        <v>7759.02</v>
      </c>
      <c r="G18" s="15">
        <f t="shared" si="0"/>
        <v>-200.5300000000002</v>
      </c>
      <c r="H18" s="16">
        <f t="shared" si="0"/>
        <v>1046.46</v>
      </c>
      <c r="I18" s="9"/>
      <c r="J18" s="16">
        <f>I18+март!J16</f>
        <v>0</v>
      </c>
      <c r="K18" s="8"/>
      <c r="L18" s="15">
        <f>K18+март!L16</f>
        <v>0</v>
      </c>
    </row>
    <row r="19" spans="1:12">
      <c r="A19" s="1">
        <f t="shared" si="1"/>
        <v>15</v>
      </c>
      <c r="B19" s="40" t="str">
        <f>март!B17</f>
        <v>Водоотведение(о/д нужд)</v>
      </c>
      <c r="C19" s="8">
        <f>0+0</f>
        <v>0</v>
      </c>
      <c r="D19" s="15">
        <v>0</v>
      </c>
      <c r="E19" s="9">
        <f>0+0</f>
        <v>0</v>
      </c>
      <c r="F19" s="15">
        <f>E19+март!F17</f>
        <v>0</v>
      </c>
      <c r="G19" s="15">
        <f t="shared" si="0"/>
        <v>0</v>
      </c>
      <c r="H19" s="16">
        <f t="shared" si="0"/>
        <v>0</v>
      </c>
      <c r="I19" s="9"/>
      <c r="J19" s="16">
        <f>I19+март!J17</f>
        <v>0</v>
      </c>
      <c r="K19" s="8"/>
      <c r="L19" s="15">
        <f>K19+март!L17</f>
        <v>0</v>
      </c>
    </row>
    <row r="20" spans="1:12">
      <c r="A20" s="1">
        <f t="shared" si="1"/>
        <v>16</v>
      </c>
      <c r="B20" s="40" t="str">
        <f>март!B18</f>
        <v>Отопление(о/д нужд)</v>
      </c>
      <c r="C20" s="8">
        <v>0</v>
      </c>
      <c r="D20" s="15">
        <v>0</v>
      </c>
      <c r="E20" s="9">
        <v>0</v>
      </c>
      <c r="F20" s="15">
        <f>E20+март!F18</f>
        <v>0</v>
      </c>
      <c r="G20" s="15">
        <f t="shared" si="0"/>
        <v>0</v>
      </c>
      <c r="H20" s="16">
        <f t="shared" si="0"/>
        <v>0</v>
      </c>
      <c r="I20" s="9"/>
      <c r="J20" s="16">
        <f>I20+март!J18</f>
        <v>0</v>
      </c>
      <c r="K20" s="8"/>
      <c r="L20" s="15">
        <f>K20+март!L18</f>
        <v>0</v>
      </c>
    </row>
    <row r="21" spans="1:12" ht="12.75" customHeight="1">
      <c r="A21" s="1">
        <f t="shared" si="1"/>
        <v>17</v>
      </c>
      <c r="B21" s="40" t="str">
        <f>март!B19</f>
        <v>Электроснабжение(общед.нужды)</v>
      </c>
      <c r="C21" s="8">
        <f>2702.03+19836.94</f>
        <v>22538.969999999998</v>
      </c>
      <c r="D21" s="15">
        <v>64733.08</v>
      </c>
      <c r="E21" s="9">
        <f>27476.82+2734.06</f>
        <v>30210.880000000001</v>
      </c>
      <c r="F21" s="15">
        <f>E21+март!F19</f>
        <v>89870.62</v>
      </c>
      <c r="G21" s="15">
        <f t="shared" si="0"/>
        <v>7671.9100000000035</v>
      </c>
      <c r="H21" s="16">
        <f t="shared" si="0"/>
        <v>25137.539999999994</v>
      </c>
      <c r="I21" s="9"/>
      <c r="J21" s="16">
        <f>I21+март!J19</f>
        <v>0</v>
      </c>
      <c r="K21" s="9"/>
      <c r="L21" s="15">
        <f>K21+март!L19</f>
        <v>0</v>
      </c>
    </row>
    <row r="22" spans="1:12" ht="12.75" customHeight="1">
      <c r="A22" s="1">
        <f t="shared" si="1"/>
        <v>18</v>
      </c>
      <c r="B22" s="40" t="str">
        <f>март!B20</f>
        <v>Горячее водоснабж.(о/д нужды)</v>
      </c>
      <c r="C22" s="8">
        <f>93.44+673.53</f>
        <v>766.97</v>
      </c>
      <c r="D22" s="15">
        <v>2283.88</v>
      </c>
      <c r="E22" s="9">
        <f>576.76+61.05</f>
        <v>637.80999999999995</v>
      </c>
      <c r="F22" s="15">
        <f>E22+март!F20</f>
        <v>2266.8900000000003</v>
      </c>
      <c r="G22" s="15">
        <f t="shared" si="0"/>
        <v>-129.16000000000008</v>
      </c>
      <c r="H22" s="16">
        <f t="shared" si="0"/>
        <v>-16.989999999999782</v>
      </c>
      <c r="I22" s="9"/>
      <c r="J22" s="16">
        <f>I22+март!J20</f>
        <v>0</v>
      </c>
      <c r="K22" s="8"/>
      <c r="L22" s="15">
        <f>K22+март!L20</f>
        <v>0</v>
      </c>
    </row>
    <row r="23" spans="1:12" ht="15" customHeight="1">
      <c r="A23" s="1">
        <f t="shared" si="1"/>
        <v>19</v>
      </c>
      <c r="B23" s="40" t="str">
        <f>март!B21</f>
        <v>Хлодное водоснаб. (о/д нужды)</v>
      </c>
      <c r="C23" s="8">
        <f>34.87+258.52</f>
        <v>293.39</v>
      </c>
      <c r="D23" s="15">
        <v>873.17</v>
      </c>
      <c r="E23" s="9">
        <f>270.47+22.4</f>
        <v>292.87</v>
      </c>
      <c r="F23" s="15">
        <f>E23+март!F21</f>
        <v>1394.6799999999998</v>
      </c>
      <c r="G23" s="15">
        <f t="shared" si="0"/>
        <v>-0.51999999999998181</v>
      </c>
      <c r="H23" s="16">
        <f t="shared" si="0"/>
        <v>521.50999999999988</v>
      </c>
      <c r="I23" s="9"/>
      <c r="J23" s="16">
        <f>I23+март!J21</f>
        <v>0</v>
      </c>
      <c r="K23" s="8"/>
      <c r="L23" s="15">
        <f>K23+март!L21</f>
        <v>0</v>
      </c>
    </row>
    <row r="24" spans="1:12">
      <c r="A24" s="1">
        <f t="shared" si="1"/>
        <v>20</v>
      </c>
      <c r="B24" s="40">
        <f>март!B22</f>
        <v>0</v>
      </c>
      <c r="C24" s="8"/>
      <c r="D24" s="15">
        <v>0</v>
      </c>
      <c r="E24" s="9"/>
      <c r="F24" s="15">
        <f>E24+март!F22</f>
        <v>0</v>
      </c>
      <c r="G24" s="15">
        <f t="shared" si="0"/>
        <v>0</v>
      </c>
      <c r="H24" s="16">
        <f t="shared" si="0"/>
        <v>0</v>
      </c>
      <c r="I24" s="9"/>
      <c r="J24" s="16">
        <f>I24+март!J22</f>
        <v>0</v>
      </c>
      <c r="K24" s="8"/>
      <c r="L24" s="15">
        <f>K24+март!L22</f>
        <v>0</v>
      </c>
    </row>
    <row r="25" spans="1:12">
      <c r="A25" s="1"/>
      <c r="B25" s="7" t="s">
        <v>12</v>
      </c>
      <c r="C25" s="61">
        <f t="shared" ref="C25:L25" si="2">SUM(C5:C24)</f>
        <v>372094.5199999999</v>
      </c>
      <c r="D25" s="15">
        <f t="shared" si="2"/>
        <v>1238778.69</v>
      </c>
      <c r="E25" s="62">
        <f t="shared" si="2"/>
        <v>398606.85999999993</v>
      </c>
      <c r="F25" s="15">
        <f t="shared" si="2"/>
        <v>1470465.06</v>
      </c>
      <c r="G25" s="15">
        <f t="shared" si="2"/>
        <v>26512.339999999997</v>
      </c>
      <c r="H25" s="16">
        <f t="shared" si="2"/>
        <v>231686.36999999994</v>
      </c>
      <c r="I25" s="16">
        <f t="shared" si="2"/>
        <v>0</v>
      </c>
      <c r="J25" s="16">
        <f t="shared" si="2"/>
        <v>0</v>
      </c>
      <c r="K25" s="15">
        <f t="shared" si="2"/>
        <v>0</v>
      </c>
      <c r="L25" s="15">
        <f t="shared" si="2"/>
        <v>0</v>
      </c>
    </row>
    <row r="26" spans="1:12">
      <c r="B26" s="1" t="s">
        <v>35</v>
      </c>
      <c r="C26" s="9">
        <f>C11+C12+C13+C17+C19+C23</f>
        <v>62245</v>
      </c>
      <c r="D26" s="9">
        <f t="shared" ref="D26:J26" si="3">D11+D12+D13+D17+D19+D23</f>
        <v>187995.06000000003</v>
      </c>
      <c r="E26" s="9">
        <f t="shared" si="3"/>
        <v>63040.480000000003</v>
      </c>
      <c r="F26" s="9">
        <f t="shared" si="3"/>
        <v>222979.47999999998</v>
      </c>
      <c r="G26" s="9">
        <f t="shared" si="3"/>
        <v>795.48</v>
      </c>
      <c r="H26" s="9">
        <f t="shared" si="3"/>
        <v>34984.419999999991</v>
      </c>
      <c r="I26" s="9">
        <f t="shared" si="3"/>
        <v>0</v>
      </c>
      <c r="J26" s="9">
        <f t="shared" si="3"/>
        <v>0</v>
      </c>
    </row>
    <row r="27" spans="1:12">
      <c r="B27" s="1" t="s">
        <v>38</v>
      </c>
      <c r="C27" s="9">
        <f>C10+C21</f>
        <v>60716.619999999995</v>
      </c>
      <c r="D27" s="9">
        <f t="shared" ref="D27:J27" si="4">D10+D21</f>
        <v>180833.36</v>
      </c>
      <c r="E27" s="9">
        <f t="shared" si="4"/>
        <v>68983.89</v>
      </c>
      <c r="F27" s="9">
        <f t="shared" si="4"/>
        <v>233266.9</v>
      </c>
      <c r="G27" s="9">
        <f t="shared" si="4"/>
        <v>8267.2700000000041</v>
      </c>
      <c r="H27" s="9">
        <f t="shared" si="4"/>
        <v>52433.539999999994</v>
      </c>
      <c r="I27" s="9">
        <f t="shared" si="4"/>
        <v>0</v>
      </c>
      <c r="J27" s="9">
        <f t="shared" si="4"/>
        <v>0</v>
      </c>
    </row>
    <row r="28" spans="1:12">
      <c r="B28" s="1" t="s">
        <v>39</v>
      </c>
      <c r="C28" s="9">
        <f>C6+C7+C20+C22</f>
        <v>168968.18000000002</v>
      </c>
      <c r="D28" s="9">
        <f t="shared" ref="D28:J28" si="5">D6+D7+D20+D22</f>
        <v>631743.71000000008</v>
      </c>
      <c r="E28" s="9">
        <f t="shared" si="5"/>
        <v>194773.46</v>
      </c>
      <c r="F28" s="9">
        <f t="shared" si="5"/>
        <v>741005.18</v>
      </c>
      <c r="G28" s="9">
        <f t="shared" si="5"/>
        <v>25805.279999999995</v>
      </c>
      <c r="H28" s="9">
        <f t="shared" si="5"/>
        <v>109261.46999999999</v>
      </c>
      <c r="I28" s="9">
        <f t="shared" si="5"/>
        <v>0</v>
      </c>
      <c r="J28" s="9">
        <f t="shared" si="5"/>
        <v>0</v>
      </c>
    </row>
    <row r="32" spans="1:12">
      <c r="I32">
        <v>46150.25</v>
      </c>
      <c r="J32">
        <v>34657.78</v>
      </c>
    </row>
    <row r="33" spans="9:10">
      <c r="I33">
        <v>325944.27</v>
      </c>
      <c r="J33">
        <v>363949.08</v>
      </c>
    </row>
    <row r="34" spans="9:10">
      <c r="I34" s="11">
        <f>I32+I33</f>
        <v>372094.52</v>
      </c>
      <c r="J34" s="11">
        <f>J32+J33</f>
        <v>398606.86</v>
      </c>
    </row>
  </sheetData>
  <phoneticPr fontId="0" type="noConversion"/>
  <pageMargins left="0.75" right="0.75" top="1" bottom="1" header="0.5" footer="0.5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L33"/>
  <sheetViews>
    <sheetView workbookViewId="0">
      <selection activeCell="L36" sqref="L36"/>
    </sheetView>
  </sheetViews>
  <sheetFormatPr defaultRowHeight="12.75"/>
  <cols>
    <col min="1" max="1" width="2.85546875" customWidth="1"/>
    <col min="2" max="2" width="34.7109375" customWidth="1"/>
    <col min="3" max="3" width="12.7109375" customWidth="1"/>
    <col min="4" max="4" width="11" customWidth="1"/>
    <col min="5" max="5" width="11.28515625" customWidth="1"/>
    <col min="6" max="6" width="10.85546875" customWidth="1"/>
    <col min="7" max="7" width="11.5703125" customWidth="1"/>
    <col min="8" max="8" width="10.7109375" customWidth="1"/>
    <col min="9" max="9" width="10.140625" bestFit="1" customWidth="1"/>
    <col min="10" max="10" width="11.28515625" customWidth="1"/>
    <col min="11" max="11" width="10.140625" bestFit="1" customWidth="1"/>
    <col min="12" max="12" width="12.5703125" customWidth="1"/>
  </cols>
  <sheetData>
    <row r="2" spans="1:12" s="30" customFormat="1" ht="38.25">
      <c r="A2" s="33" t="s">
        <v>0</v>
      </c>
      <c r="B2" s="34" t="s">
        <v>1</v>
      </c>
      <c r="C2" s="35" t="s">
        <v>2</v>
      </c>
      <c r="D2" s="34" t="s">
        <v>3</v>
      </c>
      <c r="E2" s="33" t="s">
        <v>4</v>
      </c>
      <c r="F2" s="34" t="s">
        <v>5</v>
      </c>
      <c r="G2" s="34" t="s">
        <v>6</v>
      </c>
      <c r="H2" s="33" t="s">
        <v>7</v>
      </c>
      <c r="I2" s="33" t="s">
        <v>8</v>
      </c>
      <c r="J2" s="33" t="s">
        <v>9</v>
      </c>
      <c r="K2" s="34" t="s">
        <v>10</v>
      </c>
      <c r="L2" s="34" t="s">
        <v>11</v>
      </c>
    </row>
    <row r="3" spans="1:12" ht="15" customHeight="1">
      <c r="A3" s="1">
        <v>1</v>
      </c>
      <c r="B3" s="40" t="str">
        <f>апрель!B5</f>
        <v>Содержание общ.имущ.дома</v>
      </c>
      <c r="C3" s="8">
        <f>35533.8+4840.06</f>
        <v>40373.86</v>
      </c>
      <c r="D3" s="15">
        <f>C3+апрель!D5</f>
        <v>160349.79999999999</v>
      </c>
      <c r="E3" s="9">
        <f>38291.85+4296.64</f>
        <v>42588.49</v>
      </c>
      <c r="F3" s="15">
        <f>E3+апрель!F5</f>
        <v>179781.71999999997</v>
      </c>
      <c r="G3" s="15">
        <f>E3-C3</f>
        <v>2214.6299999999974</v>
      </c>
      <c r="H3" s="16">
        <f>F3-D3</f>
        <v>19431.919999999984</v>
      </c>
      <c r="I3" s="9"/>
      <c r="J3" s="16">
        <f>I3+апрель!J5</f>
        <v>0</v>
      </c>
      <c r="K3" s="8"/>
      <c r="L3" s="15">
        <f>K3+апрель!L5</f>
        <v>0</v>
      </c>
    </row>
    <row r="4" spans="1:12">
      <c r="A4" s="1">
        <f>A3+1</f>
        <v>2</v>
      </c>
      <c r="B4" s="40" t="str">
        <f>апрель!B6</f>
        <v>Отопление</v>
      </c>
      <c r="C4" s="8">
        <f>71645.3+9758.83</f>
        <v>81404.13</v>
      </c>
      <c r="D4" s="15">
        <f>C4+апрель!D6</f>
        <v>521171.76</v>
      </c>
      <c r="E4" s="9">
        <f>11056.61+108620.56</f>
        <v>119677.17</v>
      </c>
      <c r="F4" s="15">
        <f>E4+апрель!F6</f>
        <v>637848.44000000006</v>
      </c>
      <c r="G4" s="15">
        <f t="shared" ref="G4:H22" si="0">E4-C4</f>
        <v>38273.039999999994</v>
      </c>
      <c r="H4" s="16">
        <f t="shared" si="0"/>
        <v>116676.68000000005</v>
      </c>
      <c r="I4" s="9"/>
      <c r="J4" s="16">
        <f>I4+апрель!J6</f>
        <v>0</v>
      </c>
      <c r="K4" s="8"/>
      <c r="L4" s="15">
        <f>K4+апрель!L6</f>
        <v>0</v>
      </c>
    </row>
    <row r="5" spans="1:12">
      <c r="A5" s="1">
        <f t="shared" ref="A5:A22" si="1">A4+1</f>
        <v>3</v>
      </c>
      <c r="B5" s="40" t="str">
        <f>апрель!B7</f>
        <v>Горячее водоснабжение</v>
      </c>
      <c r="C5" s="8">
        <f>55862.69+8128.16</f>
        <v>63990.850000000006</v>
      </c>
      <c r="D5" s="15">
        <f>C5+апрель!D7</f>
        <v>253683.05000000002</v>
      </c>
      <c r="E5" s="9">
        <f>6860.55+62072.45</f>
        <v>68933</v>
      </c>
      <c r="F5" s="15">
        <f>E5+апрель!F7</f>
        <v>289500.02</v>
      </c>
      <c r="G5" s="15">
        <f t="shared" si="0"/>
        <v>4942.1499999999942</v>
      </c>
      <c r="H5" s="16">
        <f t="shared" si="0"/>
        <v>35816.97</v>
      </c>
      <c r="I5" s="9"/>
      <c r="J5" s="16">
        <f>I5+апрель!J7</f>
        <v>0</v>
      </c>
      <c r="K5" s="8"/>
      <c r="L5" s="15">
        <f>K5+апрель!L7</f>
        <v>0</v>
      </c>
    </row>
    <row r="6" spans="1:12">
      <c r="A6" s="1">
        <f t="shared" si="1"/>
        <v>4</v>
      </c>
      <c r="B6" s="40" t="str">
        <f>апрель!B8</f>
        <v>Газ</v>
      </c>
      <c r="C6" s="8">
        <f>0-87.84</f>
        <v>-87.84</v>
      </c>
      <c r="D6" s="15">
        <f>C6+апрель!D8</f>
        <v>-87.84</v>
      </c>
      <c r="E6" s="9">
        <f>0+0</f>
        <v>0</v>
      </c>
      <c r="F6" s="15">
        <f>E6+апрель!F8</f>
        <v>0</v>
      </c>
      <c r="G6" s="15">
        <f t="shared" si="0"/>
        <v>87.84</v>
      </c>
      <c r="H6" s="16">
        <f t="shared" si="0"/>
        <v>87.84</v>
      </c>
      <c r="I6" s="9"/>
      <c r="J6" s="16">
        <f>I6+апрель!J8</f>
        <v>0</v>
      </c>
      <c r="K6" s="8"/>
      <c r="L6" s="15">
        <f>K6+апрель!L8</f>
        <v>0</v>
      </c>
    </row>
    <row r="7" spans="1:12" ht="15.75" customHeight="1">
      <c r="A7" s="1">
        <f t="shared" si="1"/>
        <v>5</v>
      </c>
      <c r="B7" s="40" t="str">
        <f>апрель!B9</f>
        <v>Уборка и сан.очистка зем.участка</v>
      </c>
      <c r="C7" s="8">
        <f>4874.62+663.99</f>
        <v>5538.61</v>
      </c>
      <c r="D7" s="15">
        <f>C7+апрель!D9</f>
        <v>21995.47</v>
      </c>
      <c r="E7" s="9">
        <f>589.86+5277.5</f>
        <v>5867.36</v>
      </c>
      <c r="F7" s="15">
        <f>E7+апрель!F9</f>
        <v>24839.64</v>
      </c>
      <c r="G7" s="15">
        <f t="shared" si="0"/>
        <v>328.75</v>
      </c>
      <c r="H7" s="16">
        <f t="shared" si="0"/>
        <v>2844.1699999999983</v>
      </c>
      <c r="I7" s="9"/>
      <c r="J7" s="16">
        <f>I7+апрель!J9</f>
        <v>0</v>
      </c>
      <c r="K7" s="8"/>
      <c r="L7" s="15">
        <f>K7+апрель!L9</f>
        <v>0</v>
      </c>
    </row>
    <row r="8" spans="1:12" ht="16.5" customHeight="1">
      <c r="A8" s="1">
        <f t="shared" si="1"/>
        <v>6</v>
      </c>
      <c r="B8" s="40" t="str">
        <f>апрель!B10</f>
        <v>Электроснабжение(инд.потребление)</v>
      </c>
      <c r="C8" s="8">
        <f>32765.35+4923.4</f>
        <v>37688.75</v>
      </c>
      <c r="D8" s="15">
        <f>C8+апрель!D10</f>
        <v>153789.03</v>
      </c>
      <c r="E8" s="9">
        <f>4185.1+38701.72</f>
        <v>42886.82</v>
      </c>
      <c r="F8" s="15">
        <f>E8+апрель!F10</f>
        <v>186283.1</v>
      </c>
      <c r="G8" s="15">
        <f t="shared" si="0"/>
        <v>5198.07</v>
      </c>
      <c r="H8" s="16">
        <f t="shared" si="0"/>
        <v>32494.070000000007</v>
      </c>
      <c r="I8" s="9"/>
      <c r="J8" s="16">
        <f>I8+апрель!J10</f>
        <v>0</v>
      </c>
      <c r="K8" s="8"/>
      <c r="L8" s="15">
        <f>K8+апрель!L10</f>
        <v>0</v>
      </c>
    </row>
    <row r="9" spans="1:12">
      <c r="A9" s="1">
        <f t="shared" si="1"/>
        <v>7</v>
      </c>
      <c r="B9" s="40" t="str">
        <f>апрель!B11</f>
        <v>Холодная вода</v>
      </c>
      <c r="C9" s="8">
        <f>20679.01+2991.75</f>
        <v>23670.76</v>
      </c>
      <c r="D9" s="15">
        <f>C9+апрель!D11</f>
        <v>93003.37</v>
      </c>
      <c r="E9" s="9">
        <f>2531.29+22985.1</f>
        <v>25516.39</v>
      </c>
      <c r="F9" s="15">
        <f>E9+апрель!F11</f>
        <v>107125.70999999999</v>
      </c>
      <c r="G9" s="15">
        <f t="shared" si="0"/>
        <v>1845.630000000001</v>
      </c>
      <c r="H9" s="16">
        <f t="shared" si="0"/>
        <v>14122.339999999997</v>
      </c>
      <c r="I9" s="9"/>
      <c r="J9" s="16">
        <f>I9+апрель!J11</f>
        <v>0</v>
      </c>
      <c r="K9" s="8"/>
      <c r="L9" s="15">
        <f>K9+апрель!L11</f>
        <v>0</v>
      </c>
    </row>
    <row r="10" spans="1:12">
      <c r="A10" s="1">
        <f t="shared" si="1"/>
        <v>8</v>
      </c>
      <c r="B10" s="40" t="str">
        <f>апрель!B12</f>
        <v>Канализир.х.воды</v>
      </c>
      <c r="C10" s="8">
        <f>0+0</f>
        <v>0</v>
      </c>
      <c r="D10" s="15">
        <f>C10+апрель!D12</f>
        <v>0</v>
      </c>
      <c r="E10" s="9">
        <f>0+0</f>
        <v>0</v>
      </c>
      <c r="F10" s="15">
        <f>E10+апрель!F12</f>
        <v>114.22</v>
      </c>
      <c r="G10" s="15">
        <f t="shared" si="0"/>
        <v>0</v>
      </c>
      <c r="H10" s="16">
        <f t="shared" si="0"/>
        <v>114.22</v>
      </c>
      <c r="I10" s="9"/>
      <c r="J10" s="16">
        <f>I10+апрель!J12</f>
        <v>0</v>
      </c>
      <c r="K10" s="8"/>
      <c r="L10" s="15">
        <f>K10+апрель!L12</f>
        <v>0</v>
      </c>
    </row>
    <row r="11" spans="1:12">
      <c r="A11" s="1">
        <f t="shared" si="1"/>
        <v>9</v>
      </c>
      <c r="B11" s="40" t="str">
        <f>апрель!B13</f>
        <v>Канализир.г.воды</v>
      </c>
      <c r="C11" s="8">
        <f>0+0</f>
        <v>0</v>
      </c>
      <c r="D11" s="15">
        <f>C11+апрель!D13</f>
        <v>0</v>
      </c>
      <c r="E11" s="9">
        <f>0+0</f>
        <v>0</v>
      </c>
      <c r="F11" s="15">
        <f>E11+апрель!F13</f>
        <v>76.009999999999991</v>
      </c>
      <c r="G11" s="15">
        <f t="shared" si="0"/>
        <v>0</v>
      </c>
      <c r="H11" s="16">
        <f t="shared" si="0"/>
        <v>76.009999999999991</v>
      </c>
      <c r="I11" s="9"/>
      <c r="J11" s="16">
        <f>I11+апрель!J13</f>
        <v>0</v>
      </c>
      <c r="K11" s="8"/>
      <c r="L11" s="15">
        <f>K11+апрель!L13</f>
        <v>0</v>
      </c>
    </row>
    <row r="12" spans="1:12">
      <c r="A12" s="1">
        <f t="shared" si="1"/>
        <v>10</v>
      </c>
      <c r="B12" s="40" t="str">
        <f>апрель!B14</f>
        <v>Тек.рем.общ.имущ.дома</v>
      </c>
      <c r="C12" s="8">
        <f>18729.03+2551.1</f>
        <v>21280.129999999997</v>
      </c>
      <c r="D12" s="15">
        <f>C12+апрель!D14</f>
        <v>84509.799999999988</v>
      </c>
      <c r="E12" s="9">
        <f>2266.24+20265.4</f>
        <v>22531.64</v>
      </c>
      <c r="F12" s="15">
        <f>E12+апрель!F14</f>
        <v>95378.42</v>
      </c>
      <c r="G12" s="15">
        <f t="shared" si="0"/>
        <v>1251.510000000002</v>
      </c>
      <c r="H12" s="16">
        <f t="shared" si="0"/>
        <v>10868.62000000001</v>
      </c>
      <c r="I12" s="9"/>
      <c r="J12" s="16">
        <f>I12+апрель!J14</f>
        <v>0</v>
      </c>
      <c r="K12" s="8"/>
      <c r="L12" s="15">
        <f>K12+апрель!L14</f>
        <v>0</v>
      </c>
    </row>
    <row r="13" spans="1:12">
      <c r="A13" s="1">
        <f t="shared" si="1"/>
        <v>11</v>
      </c>
      <c r="B13" s="40" t="str">
        <f>апрель!B15</f>
        <v>Сод.и тек.рем.в/дом.газос.</v>
      </c>
      <c r="C13" s="8">
        <f>2084.63+283.94</f>
        <v>2368.5700000000002</v>
      </c>
      <c r="D13" s="15">
        <f>C13+апрель!D15</f>
        <v>9406.31</v>
      </c>
      <c r="E13" s="9">
        <f>252.23+2255.41</f>
        <v>2507.64</v>
      </c>
      <c r="F13" s="15">
        <f>E13+апрель!F15</f>
        <v>10612.4</v>
      </c>
      <c r="G13" s="15">
        <f t="shared" si="0"/>
        <v>139.06999999999971</v>
      </c>
      <c r="H13" s="16">
        <f t="shared" si="0"/>
        <v>1206.0900000000001</v>
      </c>
      <c r="I13" s="9"/>
      <c r="J13" s="16">
        <f>I13+апрель!J15</f>
        <v>0</v>
      </c>
      <c r="K13" s="8"/>
      <c r="L13" s="15">
        <f>K13+апрель!L15</f>
        <v>0</v>
      </c>
    </row>
    <row r="14" spans="1:12">
      <c r="A14" s="1">
        <f t="shared" si="1"/>
        <v>12</v>
      </c>
      <c r="B14" s="40" t="str">
        <f>апрель!B16</f>
        <v>Управление многокварт.</v>
      </c>
      <c r="C14" s="8">
        <f>7344.07+1000.35</f>
        <v>8344.42</v>
      </c>
      <c r="D14" s="15">
        <f>C14+апрель!D16</f>
        <v>33138.21</v>
      </c>
      <c r="E14" s="9">
        <f>888.64+7918.57</f>
        <v>8807.2099999999991</v>
      </c>
      <c r="F14" s="15">
        <f>E14+апрель!F16</f>
        <v>37144.639999999999</v>
      </c>
      <c r="G14" s="15">
        <f t="shared" si="0"/>
        <v>462.78999999999905</v>
      </c>
      <c r="H14" s="16">
        <f t="shared" si="0"/>
        <v>4006.4300000000003</v>
      </c>
      <c r="I14" s="9"/>
      <c r="J14" s="16">
        <f>I14+апрель!J16</f>
        <v>0</v>
      </c>
      <c r="K14" s="8"/>
      <c r="L14" s="15">
        <f>K14+апрель!L16</f>
        <v>0</v>
      </c>
    </row>
    <row r="15" spans="1:12">
      <c r="A15" s="1">
        <f t="shared" si="1"/>
        <v>13</v>
      </c>
      <c r="B15" s="40" t="str">
        <f>апрель!B17</f>
        <v>Водоотведение(кв)</v>
      </c>
      <c r="C15" s="8">
        <f>34464.17+5116.48</f>
        <v>39580.649999999994</v>
      </c>
      <c r="D15" s="15">
        <f>C15+апрель!D17</f>
        <v>157369.93</v>
      </c>
      <c r="E15" s="9">
        <f>4333.98+39402.48</f>
        <v>43736.460000000006</v>
      </c>
      <c r="F15" s="15">
        <f>E15+апрель!F17</f>
        <v>183521.71000000002</v>
      </c>
      <c r="G15" s="15">
        <f t="shared" si="0"/>
        <v>4155.8100000000122</v>
      </c>
      <c r="H15" s="16">
        <f t="shared" si="0"/>
        <v>26151.780000000028</v>
      </c>
      <c r="I15" s="9"/>
      <c r="J15" s="16">
        <f>I15+апрель!J17</f>
        <v>0</v>
      </c>
      <c r="K15" s="8"/>
      <c r="L15" s="15">
        <f>K15+апрель!L17</f>
        <v>0</v>
      </c>
    </row>
    <row r="16" spans="1:12">
      <c r="A16" s="1">
        <f t="shared" si="1"/>
        <v>14</v>
      </c>
      <c r="B16" s="40" t="str">
        <f>апрель!B18</f>
        <v>Эксплуатация общ.ПУ</v>
      </c>
      <c r="C16" s="8">
        <f>1988.3+270.83</f>
        <v>2259.13</v>
      </c>
      <c r="D16" s="15">
        <f>C16+апрель!D18</f>
        <v>8971.69</v>
      </c>
      <c r="E16" s="9">
        <f>240.6+2153.28</f>
        <v>2393.88</v>
      </c>
      <c r="F16" s="15">
        <f>E16+апрель!F18</f>
        <v>10152.900000000001</v>
      </c>
      <c r="G16" s="15">
        <f t="shared" si="0"/>
        <v>134.75</v>
      </c>
      <c r="H16" s="16">
        <f t="shared" si="0"/>
        <v>1181.2100000000009</v>
      </c>
      <c r="I16" s="9"/>
      <c r="J16" s="16">
        <f>I16+апрель!J18</f>
        <v>0</v>
      </c>
      <c r="K16" s="8"/>
      <c r="L16" s="15">
        <f>K16+апрель!L18</f>
        <v>0</v>
      </c>
    </row>
    <row r="17" spans="1:12">
      <c r="A17" s="1">
        <f t="shared" si="1"/>
        <v>15</v>
      </c>
      <c r="B17" s="40" t="str">
        <f>апрель!B19</f>
        <v>Водоотведение(о/д нужд)</v>
      </c>
      <c r="C17" s="8">
        <f>0+0</f>
        <v>0</v>
      </c>
      <c r="D17" s="15">
        <f>C17+апрель!D19</f>
        <v>0</v>
      </c>
      <c r="E17" s="9">
        <f>0+0</f>
        <v>0</v>
      </c>
      <c r="F17" s="15">
        <f>E17+апрель!F19</f>
        <v>0</v>
      </c>
      <c r="G17" s="15">
        <f t="shared" si="0"/>
        <v>0</v>
      </c>
      <c r="H17" s="16">
        <f t="shared" si="0"/>
        <v>0</v>
      </c>
      <c r="I17" s="9"/>
      <c r="J17" s="16">
        <f>I17+апрель!J19</f>
        <v>0</v>
      </c>
      <c r="K17" s="8"/>
      <c r="L17" s="15">
        <f>K17+апрель!L19</f>
        <v>0</v>
      </c>
    </row>
    <row r="18" spans="1:12">
      <c r="A18" s="1">
        <f t="shared" si="1"/>
        <v>16</v>
      </c>
      <c r="B18" s="40" t="str">
        <f>апрель!B20</f>
        <v>Отопление(о/д нужд)</v>
      </c>
      <c r="C18" s="8">
        <f>0+0</f>
        <v>0</v>
      </c>
      <c r="D18" s="15">
        <f>C18+апрель!D20</f>
        <v>0</v>
      </c>
      <c r="E18" s="9">
        <f>0+0</f>
        <v>0</v>
      </c>
      <c r="F18" s="15">
        <f>E18+апрель!F20</f>
        <v>0</v>
      </c>
      <c r="G18" s="15">
        <f t="shared" si="0"/>
        <v>0</v>
      </c>
      <c r="H18" s="16">
        <f t="shared" si="0"/>
        <v>0</v>
      </c>
      <c r="I18" s="9"/>
      <c r="J18" s="16">
        <f>I18+апрель!J20</f>
        <v>0</v>
      </c>
      <c r="K18" s="8"/>
      <c r="L18" s="15">
        <f>K18+апрель!L20</f>
        <v>0</v>
      </c>
    </row>
    <row r="19" spans="1:12" ht="15" customHeight="1">
      <c r="A19" s="1">
        <f t="shared" si="1"/>
        <v>17</v>
      </c>
      <c r="B19" s="40" t="str">
        <f>апрель!B21</f>
        <v>Электроснабжение(общед.нужды)</v>
      </c>
      <c r="C19" s="8">
        <f>2847.56+20906.23</f>
        <v>23753.79</v>
      </c>
      <c r="D19" s="15">
        <f>C19+апрель!D21</f>
        <v>88486.87</v>
      </c>
      <c r="E19" s="9">
        <f>23180.9+2395.25</f>
        <v>25576.15</v>
      </c>
      <c r="F19" s="15">
        <f>E19+апрель!F21</f>
        <v>115446.76999999999</v>
      </c>
      <c r="G19" s="15">
        <f t="shared" si="0"/>
        <v>1822.3600000000006</v>
      </c>
      <c r="H19" s="16">
        <f t="shared" si="0"/>
        <v>26959.899999999994</v>
      </c>
      <c r="I19" s="9"/>
      <c r="J19" s="16">
        <f>I19+апрель!J21</f>
        <v>0</v>
      </c>
      <c r="K19" s="9"/>
      <c r="L19" s="15">
        <f>K19+апрель!L21</f>
        <v>0</v>
      </c>
    </row>
    <row r="20" spans="1:12" ht="13.5" customHeight="1">
      <c r="A20" s="1">
        <f t="shared" si="1"/>
        <v>18</v>
      </c>
      <c r="B20" s="40" t="str">
        <f>апрель!B22</f>
        <v>Горячее водоснабж.(о/д нужды)</v>
      </c>
      <c r="C20" s="8">
        <f>93.44+673.53</f>
        <v>766.97</v>
      </c>
      <c r="D20" s="15">
        <f>C20+апрель!D22</f>
        <v>3050.8500000000004</v>
      </c>
      <c r="E20" s="9">
        <f>711.41+81.54</f>
        <v>792.94999999999993</v>
      </c>
      <c r="F20" s="15">
        <f>E20+апрель!F22</f>
        <v>3059.84</v>
      </c>
      <c r="G20" s="15">
        <f t="shared" si="0"/>
        <v>25.979999999999905</v>
      </c>
      <c r="H20" s="16">
        <f t="shared" si="0"/>
        <v>8.9899999999997817</v>
      </c>
      <c r="I20" s="9"/>
      <c r="J20" s="16">
        <f>I20+апрель!J22</f>
        <v>0</v>
      </c>
      <c r="K20" s="8"/>
      <c r="L20" s="15">
        <f>K20+апрель!L22</f>
        <v>0</v>
      </c>
    </row>
    <row r="21" spans="1:12" ht="14.25" customHeight="1">
      <c r="A21" s="1">
        <f t="shared" si="1"/>
        <v>19</v>
      </c>
      <c r="B21" s="40" t="str">
        <f>апрель!B23</f>
        <v>Хлодное водоснаб. (о/д нужды)</v>
      </c>
      <c r="C21" s="8">
        <f>34.87+258.52</f>
        <v>293.39</v>
      </c>
      <c r="D21" s="15">
        <f>C21+апрель!D23</f>
        <v>1166.56</v>
      </c>
      <c r="E21" s="9">
        <f>385.37+32.23</f>
        <v>417.6</v>
      </c>
      <c r="F21" s="15">
        <f>E21+апрель!F23</f>
        <v>1812.2799999999997</v>
      </c>
      <c r="G21" s="15">
        <f t="shared" si="0"/>
        <v>124.21000000000004</v>
      </c>
      <c r="H21" s="16">
        <f t="shared" si="0"/>
        <v>645.7199999999998</v>
      </c>
      <c r="I21" s="9"/>
      <c r="J21" s="16">
        <f>I21+апрель!J23</f>
        <v>0</v>
      </c>
      <c r="K21" s="8"/>
      <c r="L21" s="15">
        <f>K21+апрель!L23</f>
        <v>0</v>
      </c>
    </row>
    <row r="22" spans="1:12">
      <c r="A22" s="1">
        <f t="shared" si="1"/>
        <v>20</v>
      </c>
      <c r="B22" s="40">
        <f>апрель!B24</f>
        <v>0</v>
      </c>
      <c r="C22" s="8"/>
      <c r="D22" s="15">
        <f>C22+апрель!D24</f>
        <v>0</v>
      </c>
      <c r="E22" s="9"/>
      <c r="F22" s="15">
        <f>E22+апрель!F24</f>
        <v>0</v>
      </c>
      <c r="G22" s="15">
        <f t="shared" si="0"/>
        <v>0</v>
      </c>
      <c r="H22" s="16">
        <f t="shared" si="0"/>
        <v>0</v>
      </c>
      <c r="I22" s="9"/>
      <c r="J22" s="16">
        <f>I22+апрель!J24</f>
        <v>0</v>
      </c>
      <c r="K22" s="8"/>
      <c r="L22" s="15">
        <f>K22+апрель!L24</f>
        <v>0</v>
      </c>
    </row>
    <row r="23" spans="1:12">
      <c r="A23" s="1"/>
      <c r="B23" s="21" t="s">
        <v>12</v>
      </c>
      <c r="C23" s="15">
        <f t="shared" ref="C23:L23" si="2">SUM(C3:C22)</f>
        <v>351226.17</v>
      </c>
      <c r="D23" s="15">
        <f>C23+апрель!D25</f>
        <v>1590004.8599999999</v>
      </c>
      <c r="E23" s="16">
        <f t="shared" si="2"/>
        <v>412232.76000000007</v>
      </c>
      <c r="F23" s="15">
        <f>E23+апрель!F25</f>
        <v>1882697.82</v>
      </c>
      <c r="G23" s="15">
        <f t="shared" si="2"/>
        <v>61006.590000000004</v>
      </c>
      <c r="H23" s="16">
        <f t="shared" si="2"/>
        <v>292692.95999999996</v>
      </c>
      <c r="I23" s="16">
        <f t="shared" si="2"/>
        <v>0</v>
      </c>
      <c r="J23" s="16">
        <f t="shared" si="2"/>
        <v>0</v>
      </c>
      <c r="K23" s="15">
        <f t="shared" si="2"/>
        <v>0</v>
      </c>
      <c r="L23" s="15">
        <f t="shared" si="2"/>
        <v>0</v>
      </c>
    </row>
    <row r="24" spans="1:12">
      <c r="B24" s="1" t="s">
        <v>35</v>
      </c>
      <c r="C24" s="9">
        <f>C9+C10+C11+C15+C17+C21</f>
        <v>63544.799999999988</v>
      </c>
      <c r="D24" s="9">
        <f t="shared" ref="D24:J24" si="3">D9+D10+D11+D15+D17+D21</f>
        <v>251539.86</v>
      </c>
      <c r="E24" s="9">
        <f t="shared" si="3"/>
        <v>69670.450000000012</v>
      </c>
      <c r="F24" s="9">
        <f t="shared" si="3"/>
        <v>292649.93000000005</v>
      </c>
      <c r="G24" s="9">
        <f t="shared" si="3"/>
        <v>6125.6500000000133</v>
      </c>
      <c r="H24" s="9">
        <f t="shared" si="3"/>
        <v>41110.070000000022</v>
      </c>
      <c r="I24" s="9">
        <f t="shared" si="3"/>
        <v>0</v>
      </c>
      <c r="J24" s="9">
        <f t="shared" si="3"/>
        <v>0</v>
      </c>
    </row>
    <row r="25" spans="1:12">
      <c r="B25" s="1" t="s">
        <v>38</v>
      </c>
      <c r="C25" s="9">
        <f>C8+C19</f>
        <v>61442.54</v>
      </c>
      <c r="D25" s="9">
        <f t="shared" ref="D25:J25" si="4">D8+D19</f>
        <v>242275.9</v>
      </c>
      <c r="E25" s="9">
        <f t="shared" si="4"/>
        <v>68462.97</v>
      </c>
      <c r="F25" s="9">
        <f t="shared" si="4"/>
        <v>301729.87</v>
      </c>
      <c r="G25" s="9">
        <f t="shared" si="4"/>
        <v>7020.43</v>
      </c>
      <c r="H25" s="9">
        <f t="shared" si="4"/>
        <v>59453.97</v>
      </c>
      <c r="I25" s="9">
        <f t="shared" si="4"/>
        <v>0</v>
      </c>
      <c r="J25" s="9">
        <f t="shared" si="4"/>
        <v>0</v>
      </c>
    </row>
    <row r="26" spans="1:12">
      <c r="B26" s="1" t="s">
        <v>39</v>
      </c>
      <c r="C26" s="9">
        <f>C4+C5+C18+C20</f>
        <v>146161.95000000001</v>
      </c>
      <c r="D26" s="9">
        <f t="shared" ref="D26:J26" si="5">D4+D5+D18+D20</f>
        <v>777905.66</v>
      </c>
      <c r="E26" s="9">
        <f t="shared" si="5"/>
        <v>189403.12</v>
      </c>
      <c r="F26" s="9">
        <f t="shared" si="5"/>
        <v>930408.3</v>
      </c>
      <c r="G26" s="9">
        <f t="shared" si="5"/>
        <v>43241.169999999991</v>
      </c>
      <c r="H26" s="9">
        <f t="shared" si="5"/>
        <v>152502.64000000004</v>
      </c>
      <c r="I26" s="9">
        <f t="shared" si="5"/>
        <v>0</v>
      </c>
      <c r="J26" s="9">
        <f t="shared" si="5"/>
        <v>0</v>
      </c>
    </row>
    <row r="31" spans="1:12">
      <c r="H31">
        <v>307721.40999999997</v>
      </c>
      <c r="I31">
        <v>372222</v>
      </c>
    </row>
    <row r="32" spans="1:12">
      <c r="H32">
        <v>43504.76</v>
      </c>
      <c r="I32">
        <v>40010.76</v>
      </c>
    </row>
    <row r="33" spans="8:9">
      <c r="H33" s="11">
        <f>H31+H32</f>
        <v>351226.17</v>
      </c>
      <c r="I33" s="11">
        <f>I31+I32</f>
        <v>412232.76</v>
      </c>
    </row>
  </sheetData>
  <phoneticPr fontId="0" type="noConversion"/>
  <pageMargins left="0.75" right="0.75" top="1" bottom="1" header="0.5" footer="0.5"/>
  <pageSetup paperSize="9"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2:Q35"/>
  <sheetViews>
    <sheetView workbookViewId="0">
      <selection activeCell="E35" sqref="D35:E35"/>
    </sheetView>
  </sheetViews>
  <sheetFormatPr defaultRowHeight="12.75"/>
  <cols>
    <col min="1" max="1" width="3" style="10" customWidth="1"/>
    <col min="2" max="2" width="35.140625" customWidth="1"/>
    <col min="3" max="3" width="11.42578125" customWidth="1"/>
    <col min="4" max="4" width="11.28515625" customWidth="1"/>
    <col min="5" max="5" width="10.7109375" customWidth="1"/>
    <col min="6" max="6" width="11.5703125" customWidth="1"/>
    <col min="7" max="7" width="11.42578125" customWidth="1"/>
    <col min="8" max="8" width="10.5703125" customWidth="1"/>
    <col min="9" max="9" width="11.5703125" customWidth="1"/>
    <col min="10" max="10" width="13.42578125" customWidth="1"/>
    <col min="11" max="11" width="10.140625" bestFit="1" customWidth="1"/>
    <col min="12" max="12" width="11" customWidth="1"/>
  </cols>
  <sheetData>
    <row r="2" spans="1:12" s="30" customFormat="1" ht="38.25">
      <c r="A2" s="17" t="s">
        <v>0</v>
      </c>
      <c r="B2" s="25" t="s">
        <v>1</v>
      </c>
      <c r="C2" s="26" t="s">
        <v>2</v>
      </c>
      <c r="D2" s="27" t="s">
        <v>3</v>
      </c>
      <c r="E2" s="28" t="s">
        <v>4</v>
      </c>
      <c r="F2" s="27" t="s">
        <v>5</v>
      </c>
      <c r="G2" s="27" t="s">
        <v>6</v>
      </c>
      <c r="H2" s="29" t="s">
        <v>7</v>
      </c>
      <c r="I2" s="28" t="s">
        <v>8</v>
      </c>
      <c r="J2" s="29" t="s">
        <v>9</v>
      </c>
      <c r="K2" s="25" t="s">
        <v>10</v>
      </c>
      <c r="L2" s="27" t="s">
        <v>11</v>
      </c>
    </row>
    <row r="3" spans="1:12">
      <c r="A3" s="1">
        <v>1</v>
      </c>
      <c r="B3" s="38" t="str">
        <f>май!B3</f>
        <v>Содержание общ.имущ.дома</v>
      </c>
      <c r="C3" s="8">
        <f>35533.8+4840.06</f>
        <v>40373.86</v>
      </c>
      <c r="D3" s="15">
        <f>C3+май!D3</f>
        <v>200723.65999999997</v>
      </c>
      <c r="E3" s="9">
        <f>32508.81+2018.88</f>
        <v>34527.69</v>
      </c>
      <c r="F3" s="15">
        <f>E3+май!F3</f>
        <v>214309.40999999997</v>
      </c>
      <c r="G3" s="15">
        <f>E3-C3</f>
        <v>-5846.1699999999983</v>
      </c>
      <c r="H3" s="16">
        <f>F3-D3</f>
        <v>13585.75</v>
      </c>
      <c r="I3" s="9"/>
      <c r="J3" s="16">
        <f>I3+май!J3</f>
        <v>0</v>
      </c>
      <c r="K3" s="8"/>
      <c r="L3" s="15">
        <f>K3+май!L3</f>
        <v>0</v>
      </c>
    </row>
    <row r="4" spans="1:12">
      <c r="A4" s="1">
        <f>A3+1</f>
        <v>2</v>
      </c>
      <c r="B4" s="38" t="str">
        <f>май!B4</f>
        <v>Отопление</v>
      </c>
      <c r="C4" s="8">
        <f>0+0</f>
        <v>0</v>
      </c>
      <c r="D4" s="15">
        <f>C4+май!D4</f>
        <v>521171.76</v>
      </c>
      <c r="E4" s="9">
        <f>72872.14+4119.15</f>
        <v>76991.289999999994</v>
      </c>
      <c r="F4" s="15">
        <f>E4+май!F4</f>
        <v>714839.7300000001</v>
      </c>
      <c r="G4" s="15">
        <f t="shared" ref="G4:H22" si="0">E4-C4</f>
        <v>76991.289999999994</v>
      </c>
      <c r="H4" s="16">
        <f t="shared" si="0"/>
        <v>193667.97000000009</v>
      </c>
      <c r="I4" s="9"/>
      <c r="J4" s="16">
        <f>I4+май!J4</f>
        <v>0</v>
      </c>
      <c r="K4" s="8"/>
      <c r="L4" s="15">
        <f>K4+май!L4</f>
        <v>0</v>
      </c>
    </row>
    <row r="5" spans="1:12">
      <c r="A5" s="1">
        <f t="shared" ref="A5:A22" si="1">A4+1</f>
        <v>3</v>
      </c>
      <c r="B5" s="38" t="str">
        <f>май!B5</f>
        <v>Горячее водоснабжение</v>
      </c>
      <c r="C5" s="8">
        <f>56014.17+8128.16</f>
        <v>64142.33</v>
      </c>
      <c r="D5" s="15">
        <f>C5+май!D5</f>
        <v>317825.38</v>
      </c>
      <c r="E5" s="9">
        <f>3725.41+51946.46</f>
        <v>55671.869999999995</v>
      </c>
      <c r="F5" s="15">
        <f>E5+май!F5</f>
        <v>345171.89</v>
      </c>
      <c r="G5" s="15">
        <f t="shared" si="0"/>
        <v>-8470.4600000000064</v>
      </c>
      <c r="H5" s="16">
        <f t="shared" si="0"/>
        <v>27346.510000000009</v>
      </c>
      <c r="I5" s="9"/>
      <c r="J5" s="16">
        <f>I5+май!J5</f>
        <v>0</v>
      </c>
      <c r="K5" s="8"/>
      <c r="L5" s="15">
        <f>K5+май!L5</f>
        <v>0</v>
      </c>
    </row>
    <row r="6" spans="1:12">
      <c r="A6" s="1">
        <f t="shared" si="1"/>
        <v>4</v>
      </c>
      <c r="B6" s="38" t="str">
        <f>май!B6</f>
        <v>Газ</v>
      </c>
      <c r="C6" s="8">
        <f>0+0</f>
        <v>0</v>
      </c>
      <c r="D6" s="15">
        <f>C6+май!D6</f>
        <v>-87.84</v>
      </c>
      <c r="E6" s="9">
        <f>0+0</f>
        <v>0</v>
      </c>
      <c r="F6" s="15">
        <f>E6+май!F6</f>
        <v>0</v>
      </c>
      <c r="G6" s="15">
        <f t="shared" si="0"/>
        <v>0</v>
      </c>
      <c r="H6" s="16">
        <f t="shared" si="0"/>
        <v>87.84</v>
      </c>
      <c r="I6" s="9"/>
      <c r="J6" s="16">
        <f>I6+май!J6</f>
        <v>0</v>
      </c>
      <c r="K6" s="8"/>
      <c r="L6" s="15">
        <f>K6+май!L6</f>
        <v>0</v>
      </c>
    </row>
    <row r="7" spans="1:12" ht="16.5" customHeight="1">
      <c r="A7" s="1">
        <f t="shared" si="1"/>
        <v>5</v>
      </c>
      <c r="B7" s="38" t="str">
        <f>май!B7</f>
        <v>Уборка и сан.очистка зем.участка</v>
      </c>
      <c r="C7" s="8">
        <f>4874.62+663.99</f>
        <v>5538.61</v>
      </c>
      <c r="D7" s="15">
        <f>C7+май!D7</f>
        <v>27534.080000000002</v>
      </c>
      <c r="E7" s="9">
        <f>276.95+4461.99</f>
        <v>4738.9399999999996</v>
      </c>
      <c r="F7" s="15">
        <f>E7+май!F7</f>
        <v>29578.579999999998</v>
      </c>
      <c r="G7" s="15">
        <f t="shared" si="0"/>
        <v>-799.67000000000007</v>
      </c>
      <c r="H7" s="16">
        <f t="shared" si="0"/>
        <v>2044.4999999999964</v>
      </c>
      <c r="I7" s="9"/>
      <c r="J7" s="16">
        <f>I7+май!J7</f>
        <v>0</v>
      </c>
      <c r="K7" s="8"/>
      <c r="L7" s="15">
        <f>K7+май!L7</f>
        <v>0</v>
      </c>
    </row>
    <row r="8" spans="1:12" ht="15" customHeight="1">
      <c r="A8" s="1">
        <f t="shared" si="1"/>
        <v>6</v>
      </c>
      <c r="B8" s="38" t="str">
        <f>май!B8</f>
        <v>Электроснабжение(инд.потребление)</v>
      </c>
      <c r="C8" s="8">
        <f>33616.06+4923.4</f>
        <v>38539.46</v>
      </c>
      <c r="D8" s="15">
        <f>C8+май!D8</f>
        <v>192328.49</v>
      </c>
      <c r="E8" s="9">
        <f>1994.08+32899.38</f>
        <v>34893.46</v>
      </c>
      <c r="F8" s="15">
        <f>E8+май!F8</f>
        <v>221176.56</v>
      </c>
      <c r="G8" s="15">
        <f t="shared" si="0"/>
        <v>-3646</v>
      </c>
      <c r="H8" s="16">
        <f t="shared" si="0"/>
        <v>28848.070000000007</v>
      </c>
      <c r="I8" s="9"/>
      <c r="J8" s="16">
        <f>I8+май!J8</f>
        <v>0</v>
      </c>
      <c r="K8" s="8"/>
      <c r="L8" s="15">
        <f>K8+май!L8</f>
        <v>0</v>
      </c>
    </row>
    <row r="9" spans="1:12">
      <c r="A9" s="1">
        <f t="shared" si="1"/>
        <v>7</v>
      </c>
      <c r="B9" s="38" t="str">
        <f>май!B9</f>
        <v>Холодная вода</v>
      </c>
      <c r="C9" s="8">
        <f>20664.23+2991.75</f>
        <v>23655.98</v>
      </c>
      <c r="D9" s="15">
        <f>C9+май!D9</f>
        <v>116659.34999999999</v>
      </c>
      <c r="E9" s="9">
        <f>1371.21+19122.51</f>
        <v>20493.719999999998</v>
      </c>
      <c r="F9" s="15">
        <f>E9+май!F9</f>
        <v>127619.43</v>
      </c>
      <c r="G9" s="15">
        <f t="shared" si="0"/>
        <v>-3162.260000000002</v>
      </c>
      <c r="H9" s="16">
        <f t="shared" si="0"/>
        <v>10960.080000000002</v>
      </c>
      <c r="I9" s="9"/>
      <c r="J9" s="16">
        <f>I9+май!J9</f>
        <v>0</v>
      </c>
      <c r="K9" s="8"/>
      <c r="L9" s="15">
        <f>K9+май!L9</f>
        <v>0</v>
      </c>
    </row>
    <row r="10" spans="1:12">
      <c r="A10" s="1">
        <f t="shared" si="1"/>
        <v>8</v>
      </c>
      <c r="B10" s="38" t="str">
        <f>май!B10</f>
        <v>Канализир.х.воды</v>
      </c>
      <c r="C10" s="8">
        <f>0+0</f>
        <v>0</v>
      </c>
      <c r="D10" s="15">
        <f>C10+май!D10</f>
        <v>0</v>
      </c>
      <c r="E10" s="9">
        <f>0+0</f>
        <v>0</v>
      </c>
      <c r="F10" s="15">
        <f>E10+май!F10</f>
        <v>114.22</v>
      </c>
      <c r="G10" s="15">
        <f t="shared" si="0"/>
        <v>0</v>
      </c>
      <c r="H10" s="16">
        <f t="shared" si="0"/>
        <v>114.22</v>
      </c>
      <c r="I10" s="9"/>
      <c r="J10" s="16">
        <f>I10+май!J10</f>
        <v>0</v>
      </c>
      <c r="K10" s="8"/>
      <c r="L10" s="15">
        <f>K10+май!L10</f>
        <v>0</v>
      </c>
    </row>
    <row r="11" spans="1:12">
      <c r="A11" s="1">
        <f t="shared" si="1"/>
        <v>9</v>
      </c>
      <c r="B11" s="38" t="str">
        <f>май!B11</f>
        <v>Канализир.г.воды</v>
      </c>
      <c r="C11" s="8">
        <f>0+0</f>
        <v>0</v>
      </c>
      <c r="D11" s="15">
        <f>C11+май!D11</f>
        <v>0</v>
      </c>
      <c r="E11" s="9">
        <f>0+0</f>
        <v>0</v>
      </c>
      <c r="F11" s="15">
        <f>E11+май!F11</f>
        <v>76.009999999999991</v>
      </c>
      <c r="G11" s="15">
        <f t="shared" si="0"/>
        <v>0</v>
      </c>
      <c r="H11" s="16">
        <f t="shared" si="0"/>
        <v>76.009999999999991</v>
      </c>
      <c r="I11" s="9"/>
      <c r="J11" s="16">
        <f>I11+май!J11</f>
        <v>0</v>
      </c>
      <c r="K11" s="8"/>
      <c r="L11" s="15">
        <f>K11+май!L11</f>
        <v>0</v>
      </c>
    </row>
    <row r="12" spans="1:12">
      <c r="A12" s="1">
        <f t="shared" si="1"/>
        <v>10</v>
      </c>
      <c r="B12" s="38" t="str">
        <f>май!B12</f>
        <v>Тек.рем.общ.имущ.дома</v>
      </c>
      <c r="C12" s="8">
        <f>18729.03+2551.1</f>
        <v>21280.129999999997</v>
      </c>
      <c r="D12" s="15">
        <f>C12+май!D12</f>
        <v>105789.93</v>
      </c>
      <c r="E12" s="9">
        <f>1064.1+17143.7</f>
        <v>18207.8</v>
      </c>
      <c r="F12" s="15">
        <f>E12+май!F12</f>
        <v>113586.22</v>
      </c>
      <c r="G12" s="15">
        <f t="shared" si="0"/>
        <v>-3072.3299999999981</v>
      </c>
      <c r="H12" s="16">
        <f t="shared" si="0"/>
        <v>7796.2900000000081</v>
      </c>
      <c r="I12" s="9"/>
      <c r="J12" s="16">
        <f>I12+май!J12</f>
        <v>0</v>
      </c>
      <c r="K12" s="8"/>
      <c r="L12" s="15">
        <f>K12+май!L12</f>
        <v>0</v>
      </c>
    </row>
    <row r="13" spans="1:12" ht="13.5" customHeight="1">
      <c r="A13" s="1">
        <f t="shared" si="1"/>
        <v>11</v>
      </c>
      <c r="B13" s="38" t="str">
        <f>май!B13</f>
        <v>Сод.и тек.рем.в/дом.газос.</v>
      </c>
      <c r="C13" s="8">
        <f>2084.63+283.94</f>
        <v>2368.5700000000002</v>
      </c>
      <c r="D13" s="15">
        <f>C13+май!D13</f>
        <v>11774.88</v>
      </c>
      <c r="E13" s="9">
        <f>118.43+1908.18</f>
        <v>2026.6100000000001</v>
      </c>
      <c r="F13" s="15">
        <f>E13+май!F13</f>
        <v>12639.01</v>
      </c>
      <c r="G13" s="15">
        <f t="shared" si="0"/>
        <v>-341.96000000000004</v>
      </c>
      <c r="H13" s="16">
        <f t="shared" si="0"/>
        <v>864.13000000000102</v>
      </c>
      <c r="I13" s="9"/>
      <c r="J13" s="16">
        <f>I13+май!J13</f>
        <v>0</v>
      </c>
      <c r="K13" s="8"/>
      <c r="L13" s="15">
        <f>K13+май!L13</f>
        <v>0</v>
      </c>
    </row>
    <row r="14" spans="1:12">
      <c r="A14" s="1">
        <f t="shared" si="1"/>
        <v>12</v>
      </c>
      <c r="B14" s="38" t="str">
        <f>май!B14</f>
        <v>Управление многокварт.</v>
      </c>
      <c r="C14" s="8">
        <f>7344.07+1000.35</f>
        <v>8344.42</v>
      </c>
      <c r="D14" s="15">
        <f>C14+май!D14</f>
        <v>41482.629999999997</v>
      </c>
      <c r="E14" s="9">
        <f>417.26+6722.46</f>
        <v>7139.72</v>
      </c>
      <c r="F14" s="15">
        <f>E14+май!F14</f>
        <v>44284.36</v>
      </c>
      <c r="G14" s="15">
        <f t="shared" si="0"/>
        <v>-1204.6999999999998</v>
      </c>
      <c r="H14" s="16">
        <f t="shared" si="0"/>
        <v>2801.7300000000032</v>
      </c>
      <c r="I14" s="9"/>
      <c r="J14" s="16">
        <f>I14+май!J14</f>
        <v>0</v>
      </c>
      <c r="K14" s="8"/>
      <c r="L14" s="15">
        <f>K14+май!L14</f>
        <v>0</v>
      </c>
    </row>
    <row r="15" spans="1:12">
      <c r="A15" s="1">
        <f t="shared" si="1"/>
        <v>13</v>
      </c>
      <c r="B15" s="38" t="str">
        <f>май!B15</f>
        <v>Водоотведение(кв)</v>
      </c>
      <c r="C15" s="8">
        <f>35327.04+5116.48</f>
        <v>40443.520000000004</v>
      </c>
      <c r="D15" s="15">
        <f>C15+май!D15</f>
        <v>197813.45</v>
      </c>
      <c r="E15" s="9">
        <f>2345.05+32705.4</f>
        <v>35050.450000000004</v>
      </c>
      <c r="F15" s="15">
        <f>E15+май!F15</f>
        <v>218572.16000000003</v>
      </c>
      <c r="G15" s="15">
        <f t="shared" si="0"/>
        <v>-5393.07</v>
      </c>
      <c r="H15" s="16">
        <f t="shared" si="0"/>
        <v>20758.710000000021</v>
      </c>
      <c r="I15" s="9"/>
      <c r="J15" s="16">
        <f>I15+май!J15</f>
        <v>0</v>
      </c>
      <c r="K15" s="8"/>
      <c r="L15" s="15">
        <f>K15+май!L15</f>
        <v>0</v>
      </c>
    </row>
    <row r="16" spans="1:12">
      <c r="A16" s="1">
        <f t="shared" si="1"/>
        <v>14</v>
      </c>
      <c r="B16" s="38" t="str">
        <f>май!B16</f>
        <v>Эксплуатация общ.ПУ</v>
      </c>
      <c r="C16" s="8">
        <f>1988.3+270.83</f>
        <v>2259.13</v>
      </c>
      <c r="D16" s="15">
        <f>C16+май!D16</f>
        <v>11230.82</v>
      </c>
      <c r="E16" s="9">
        <f>112.97+1819.99</f>
        <v>1932.96</v>
      </c>
      <c r="F16" s="15">
        <f>E16+май!F16</f>
        <v>12085.86</v>
      </c>
      <c r="G16" s="15">
        <f t="shared" si="0"/>
        <v>-326.17000000000007</v>
      </c>
      <c r="H16" s="16">
        <f t="shared" si="0"/>
        <v>855.04000000000087</v>
      </c>
      <c r="I16" s="9"/>
      <c r="J16" s="16">
        <f>I16+май!J16</f>
        <v>0</v>
      </c>
      <c r="K16" s="8"/>
      <c r="L16" s="15">
        <f>K16+май!L16</f>
        <v>0</v>
      </c>
    </row>
    <row r="17" spans="1:17" ht="15" customHeight="1">
      <c r="A17" s="1">
        <f t="shared" si="1"/>
        <v>15</v>
      </c>
      <c r="B17" s="38" t="str">
        <f>май!B17</f>
        <v>Водоотведение(о/д нужд)</v>
      </c>
      <c r="C17" s="8">
        <f>0+0</f>
        <v>0</v>
      </c>
      <c r="D17" s="15">
        <f>C17+май!D17</f>
        <v>0</v>
      </c>
      <c r="E17" s="9">
        <f>0+0</f>
        <v>0</v>
      </c>
      <c r="F17" s="15">
        <f>E17+май!F17</f>
        <v>0</v>
      </c>
      <c r="G17" s="15">
        <f t="shared" si="0"/>
        <v>0</v>
      </c>
      <c r="H17" s="16">
        <f t="shared" si="0"/>
        <v>0</v>
      </c>
      <c r="I17" s="9"/>
      <c r="J17" s="16">
        <f>I17+май!J17</f>
        <v>0</v>
      </c>
      <c r="K17" s="8"/>
      <c r="L17" s="15">
        <f>K17+май!L17</f>
        <v>0</v>
      </c>
    </row>
    <row r="18" spans="1:17">
      <c r="A18" s="1">
        <f t="shared" si="1"/>
        <v>16</v>
      </c>
      <c r="B18" s="38" t="str">
        <f>май!B18</f>
        <v>Отопление(о/д нужд)</v>
      </c>
      <c r="C18" s="8">
        <f>0+0</f>
        <v>0</v>
      </c>
      <c r="D18" s="15">
        <f>C18+май!D18</f>
        <v>0</v>
      </c>
      <c r="E18" s="9">
        <f>0+0</f>
        <v>0</v>
      </c>
      <c r="F18" s="15">
        <f>E18+май!F18</f>
        <v>0</v>
      </c>
      <c r="G18" s="15">
        <f t="shared" si="0"/>
        <v>0</v>
      </c>
      <c r="H18" s="16">
        <f t="shared" si="0"/>
        <v>0</v>
      </c>
      <c r="I18" s="9"/>
      <c r="J18" s="16">
        <f>I18+май!J18</f>
        <v>0</v>
      </c>
      <c r="K18" s="8"/>
      <c r="L18" s="15">
        <f>K18+май!L18</f>
        <v>0</v>
      </c>
    </row>
    <row r="19" spans="1:17" ht="12" customHeight="1">
      <c r="A19" s="1">
        <f t="shared" si="1"/>
        <v>17</v>
      </c>
      <c r="B19" s="38" t="str">
        <f>май!B19</f>
        <v>Электроснабжение(общед.нужды)</v>
      </c>
      <c r="C19" s="8">
        <f>19147.21+2608.04</f>
        <v>21755.25</v>
      </c>
      <c r="D19" s="15">
        <f>C19+май!D19</f>
        <v>110242.12</v>
      </c>
      <c r="E19" s="9">
        <f>1188.03+19944.89</f>
        <v>21132.92</v>
      </c>
      <c r="F19" s="15">
        <f>E19+май!F19</f>
        <v>136579.69</v>
      </c>
      <c r="G19" s="15">
        <f t="shared" si="0"/>
        <v>-622.33000000000175</v>
      </c>
      <c r="H19" s="16">
        <f t="shared" si="0"/>
        <v>26337.570000000007</v>
      </c>
      <c r="I19" s="9"/>
      <c r="J19" s="16">
        <f>I19+май!J19</f>
        <v>0</v>
      </c>
      <c r="K19" s="9"/>
      <c r="L19" s="15">
        <f>K19+май!L19</f>
        <v>0</v>
      </c>
    </row>
    <row r="20" spans="1:17" ht="15.75" customHeight="1">
      <c r="A20" s="1">
        <f t="shared" si="1"/>
        <v>18</v>
      </c>
      <c r="B20" s="38" t="str">
        <f>май!B20</f>
        <v>Горячее водоснабж.(о/д нужды)</v>
      </c>
      <c r="C20" s="8">
        <f>1029.67+142.1</f>
        <v>1171.77</v>
      </c>
      <c r="D20" s="15">
        <f>C20+май!D20</f>
        <v>4222.6200000000008</v>
      </c>
      <c r="E20" s="9">
        <f>58.65+820.26</f>
        <v>878.91</v>
      </c>
      <c r="F20" s="15">
        <f>E20+май!F20</f>
        <v>3938.75</v>
      </c>
      <c r="G20" s="15">
        <f t="shared" si="0"/>
        <v>-292.86</v>
      </c>
      <c r="H20" s="16">
        <f t="shared" si="0"/>
        <v>-283.8700000000008</v>
      </c>
      <c r="I20" s="9"/>
      <c r="J20" s="16">
        <f>I20+май!J20</f>
        <v>0</v>
      </c>
      <c r="K20" s="8"/>
      <c r="L20" s="15">
        <f>K20+май!L20</f>
        <v>0</v>
      </c>
    </row>
    <row r="21" spans="1:17" ht="14.25" customHeight="1">
      <c r="A21" s="1">
        <f t="shared" si="1"/>
        <v>19</v>
      </c>
      <c r="B21" s="38" t="str">
        <f>май!B21</f>
        <v>Хлодное водоснаб. (о/д нужды)</v>
      </c>
      <c r="C21" s="8">
        <f>390.55+54.46</f>
        <v>445.01</v>
      </c>
      <c r="D21" s="15">
        <f>C21+май!D21</f>
        <v>1611.57</v>
      </c>
      <c r="E21" s="9">
        <f>22.49+336.41</f>
        <v>358.90000000000003</v>
      </c>
      <c r="F21" s="15">
        <f>E21+май!F21</f>
        <v>2171.1799999999998</v>
      </c>
      <c r="G21" s="15">
        <f t="shared" si="0"/>
        <v>-86.109999999999957</v>
      </c>
      <c r="H21" s="16">
        <f t="shared" si="0"/>
        <v>559.6099999999999</v>
      </c>
      <c r="I21" s="9"/>
      <c r="J21" s="16">
        <f>I21+май!J21</f>
        <v>0</v>
      </c>
      <c r="K21" s="8"/>
      <c r="L21" s="15">
        <f>K21+май!L21</f>
        <v>0</v>
      </c>
    </row>
    <row r="22" spans="1:17">
      <c r="A22" s="1">
        <f t="shared" si="1"/>
        <v>20</v>
      </c>
      <c r="B22" s="38">
        <f>май!B22</f>
        <v>0</v>
      </c>
      <c r="C22" s="8"/>
      <c r="D22" s="15">
        <f>C22+май!D22</f>
        <v>0</v>
      </c>
      <c r="E22" s="9"/>
      <c r="F22" s="15">
        <f>E22+май!F22</f>
        <v>0</v>
      </c>
      <c r="G22" s="15">
        <f t="shared" si="0"/>
        <v>0</v>
      </c>
      <c r="H22" s="16">
        <f t="shared" si="0"/>
        <v>0</v>
      </c>
      <c r="I22" s="9"/>
      <c r="J22" s="16">
        <f>I22+май!J22</f>
        <v>0</v>
      </c>
      <c r="K22" s="8"/>
      <c r="L22" s="15">
        <f>K22+май!L22</f>
        <v>0</v>
      </c>
    </row>
    <row r="23" spans="1:17" s="23" customFormat="1">
      <c r="A23" s="22"/>
      <c r="B23" s="21" t="s">
        <v>12</v>
      </c>
      <c r="C23" s="15">
        <f t="shared" ref="C23:L23" si="2">SUM(C3:C22)</f>
        <v>270318.0400000001</v>
      </c>
      <c r="D23" s="15">
        <f t="shared" si="2"/>
        <v>1860322.9000000001</v>
      </c>
      <c r="E23" s="16">
        <f t="shared" si="2"/>
        <v>314045.23999999993</v>
      </c>
      <c r="F23" s="15">
        <f t="shared" si="2"/>
        <v>2196743.060000001</v>
      </c>
      <c r="G23" s="15">
        <f t="shared" si="2"/>
        <v>43727.199999999997</v>
      </c>
      <c r="H23" s="16">
        <f t="shared" si="2"/>
        <v>336420.16000000009</v>
      </c>
      <c r="I23" s="16">
        <f t="shared" si="2"/>
        <v>0</v>
      </c>
      <c r="J23" s="16">
        <f t="shared" si="2"/>
        <v>0</v>
      </c>
      <c r="K23" s="15">
        <f t="shared" si="2"/>
        <v>0</v>
      </c>
      <c r="L23" s="15">
        <f t="shared" si="2"/>
        <v>0</v>
      </c>
      <c r="M23" s="14"/>
      <c r="N23" s="14"/>
      <c r="O23" s="14"/>
      <c r="P23" s="14"/>
      <c r="Q23" s="14"/>
    </row>
    <row r="24" spans="1:17">
      <c r="M24" s="14"/>
      <c r="N24" s="14"/>
      <c r="O24" s="14"/>
      <c r="P24" s="14"/>
      <c r="Q24" s="14"/>
    </row>
    <row r="25" spans="1:17">
      <c r="B25" s="55" t="s">
        <v>34</v>
      </c>
      <c r="C25" s="9">
        <f>C3+C7+C12+C13+C14+C16</f>
        <v>80164.720000000016</v>
      </c>
      <c r="D25" s="9">
        <f t="shared" ref="D25:H25" si="3">D3+D7+D12+D13+D14+D16</f>
        <v>398536</v>
      </c>
      <c r="E25" s="9">
        <f t="shared" si="3"/>
        <v>68573.720000000016</v>
      </c>
      <c r="F25" s="9">
        <f t="shared" si="3"/>
        <v>426483.43999999994</v>
      </c>
      <c r="G25" s="9">
        <f t="shared" si="3"/>
        <v>-11590.999999999998</v>
      </c>
      <c r="H25" s="9">
        <f t="shared" si="3"/>
        <v>27947.44000000001</v>
      </c>
    </row>
    <row r="26" spans="1:17">
      <c r="B26" s="1" t="s">
        <v>35</v>
      </c>
      <c r="C26" s="9">
        <f>C9+C10+C11+C15+C17+C21</f>
        <v>64544.51</v>
      </c>
      <c r="D26" s="9">
        <f t="shared" ref="D26:J26" si="4">D9+D10+D11+D15+D17+D21</f>
        <v>316084.37</v>
      </c>
      <c r="E26" s="9">
        <f t="shared" si="4"/>
        <v>55903.07</v>
      </c>
      <c r="F26" s="9">
        <f t="shared" si="4"/>
        <v>348553</v>
      </c>
      <c r="G26" s="9">
        <f t="shared" si="4"/>
        <v>-8641.4400000000023</v>
      </c>
      <c r="H26" s="9">
        <f t="shared" si="4"/>
        <v>32468.630000000023</v>
      </c>
      <c r="I26" s="9">
        <f t="shared" si="4"/>
        <v>0</v>
      </c>
      <c r="J26" s="9">
        <f t="shared" si="4"/>
        <v>0</v>
      </c>
    </row>
    <row r="27" spans="1:17">
      <c r="B27" s="1" t="s">
        <v>38</v>
      </c>
      <c r="C27" s="9">
        <f>C8+C19</f>
        <v>60294.71</v>
      </c>
      <c r="D27" s="9">
        <f t="shared" ref="D27:J27" si="5">D8+D19</f>
        <v>302570.61</v>
      </c>
      <c r="E27" s="9">
        <f t="shared" si="5"/>
        <v>56026.38</v>
      </c>
      <c r="F27" s="9">
        <f t="shared" si="5"/>
        <v>357756.25</v>
      </c>
      <c r="G27" s="9">
        <f t="shared" si="5"/>
        <v>-4268.3300000000017</v>
      </c>
      <c r="H27" s="9">
        <f t="shared" si="5"/>
        <v>55185.640000000014</v>
      </c>
      <c r="I27" s="9">
        <f t="shared" si="5"/>
        <v>0</v>
      </c>
      <c r="J27" s="9">
        <f t="shared" si="5"/>
        <v>0</v>
      </c>
    </row>
    <row r="28" spans="1:17">
      <c r="B28" s="1" t="s">
        <v>39</v>
      </c>
      <c r="C28" s="9">
        <f>C4+C5+C18+C20</f>
        <v>65314.1</v>
      </c>
      <c r="D28" s="9">
        <f t="shared" ref="D28:J28" si="6">D4+D5+D18+D20</f>
        <v>843219.76</v>
      </c>
      <c r="E28" s="9">
        <f t="shared" si="6"/>
        <v>133542.06999999998</v>
      </c>
      <c r="F28" s="9">
        <f t="shared" si="6"/>
        <v>1063950.3700000001</v>
      </c>
      <c r="G28" s="9">
        <f t="shared" si="6"/>
        <v>68227.969999999987</v>
      </c>
      <c r="H28" s="9">
        <f t="shared" si="6"/>
        <v>220730.6100000001</v>
      </c>
      <c r="I28" s="9">
        <f t="shared" si="6"/>
        <v>0</v>
      </c>
      <c r="J28" s="9">
        <f t="shared" si="6"/>
        <v>0</v>
      </c>
    </row>
    <row r="33" spans="8:9">
      <c r="H33">
        <v>236743.38</v>
      </c>
      <c r="I33">
        <v>295212.58</v>
      </c>
    </row>
    <row r="34" spans="8:9">
      <c r="H34">
        <v>33574.660000000003</v>
      </c>
      <c r="I34">
        <v>18832.66</v>
      </c>
    </row>
    <row r="35" spans="8:9">
      <c r="H35" s="11">
        <f>H33+H34</f>
        <v>270318.04000000004</v>
      </c>
      <c r="I35" s="11">
        <f>I33+I34</f>
        <v>314045.24</v>
      </c>
    </row>
  </sheetData>
  <phoneticPr fontId="0" type="noConversion"/>
  <pageMargins left="0.75" right="0.75" top="1" bottom="1" header="0.5" footer="0.5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L32"/>
  <sheetViews>
    <sheetView workbookViewId="0">
      <selection activeCell="C1" sqref="C1:H1"/>
    </sheetView>
  </sheetViews>
  <sheetFormatPr defaultRowHeight="12.75"/>
  <cols>
    <col min="1" max="1" width="3.5703125" customWidth="1"/>
    <col min="2" max="2" width="34.28515625" customWidth="1"/>
    <col min="3" max="3" width="12.7109375" customWidth="1"/>
    <col min="4" max="5" width="10.85546875" customWidth="1"/>
    <col min="6" max="6" width="11" customWidth="1"/>
    <col min="7" max="7" width="11.42578125" customWidth="1"/>
    <col min="8" max="8" width="10.5703125" customWidth="1"/>
    <col min="9" max="9" width="10.140625" customWidth="1"/>
    <col min="10" max="10" width="12.140625" customWidth="1"/>
    <col min="11" max="11" width="10.140625" bestFit="1" customWidth="1"/>
    <col min="12" max="12" width="11" customWidth="1"/>
  </cols>
  <sheetData>
    <row r="1" spans="1:12">
      <c r="C1" s="69" t="s">
        <v>15</v>
      </c>
      <c r="D1" s="70"/>
      <c r="E1" s="70"/>
      <c r="F1" s="70"/>
      <c r="G1" s="70"/>
      <c r="H1" s="70"/>
    </row>
    <row r="2" spans="1:12" s="30" customFormat="1" ht="38.25">
      <c r="A2" s="17" t="s">
        <v>0</v>
      </c>
      <c r="B2" s="25" t="s">
        <v>1</v>
      </c>
      <c r="C2" s="26" t="s">
        <v>2</v>
      </c>
      <c r="D2" s="27" t="s">
        <v>3</v>
      </c>
      <c r="E2" s="28" t="s">
        <v>4</v>
      </c>
      <c r="F2" s="27" t="s">
        <v>5</v>
      </c>
      <c r="G2" s="27" t="s">
        <v>6</v>
      </c>
      <c r="H2" s="29" t="s">
        <v>7</v>
      </c>
      <c r="I2" s="28" t="s">
        <v>8</v>
      </c>
      <c r="J2" s="29" t="s">
        <v>9</v>
      </c>
      <c r="K2" s="25" t="s">
        <v>10</v>
      </c>
      <c r="L2" s="27" t="s">
        <v>11</v>
      </c>
    </row>
    <row r="3" spans="1:12">
      <c r="A3" s="1">
        <v>1</v>
      </c>
      <c r="B3" s="38" t="str">
        <f>июнь!B3</f>
        <v>Содержание общ.имущ.дома</v>
      </c>
      <c r="C3" s="8">
        <f>5198.28+38163.56</f>
        <v>43361.84</v>
      </c>
      <c r="D3" s="15">
        <f>C3+июнь!D3</f>
        <v>244085.49999999997</v>
      </c>
      <c r="E3" s="9">
        <f>34475.94+4055.59</f>
        <v>38531.53</v>
      </c>
      <c r="F3" s="15">
        <f>E3+июнь!F3</f>
        <v>252840.93999999997</v>
      </c>
      <c r="G3" s="15">
        <f>E3-C3</f>
        <v>-4830.3099999999977</v>
      </c>
      <c r="H3" s="16">
        <f>F3-D3</f>
        <v>8755.4400000000023</v>
      </c>
      <c r="I3" s="9"/>
      <c r="J3" s="16">
        <f>I3+июнь!J3</f>
        <v>0</v>
      </c>
      <c r="K3" s="8"/>
      <c r="L3" s="15">
        <f>K3+июнь!L3</f>
        <v>0</v>
      </c>
    </row>
    <row r="4" spans="1:12">
      <c r="A4" s="1">
        <f>A3+1</f>
        <v>2</v>
      </c>
      <c r="B4" s="38" t="str">
        <f>июнь!B4</f>
        <v>Отопление</v>
      </c>
      <c r="C4" s="8">
        <v>0</v>
      </c>
      <c r="D4" s="15">
        <f>C4+июнь!D4</f>
        <v>521171.76</v>
      </c>
      <c r="E4" s="9">
        <v>25064.02</v>
      </c>
      <c r="F4" s="15">
        <f>E4+июнь!F4</f>
        <v>739903.75000000012</v>
      </c>
      <c r="G4" s="15">
        <f t="shared" ref="G4:H22" si="0">E4-C4</f>
        <v>25064.02</v>
      </c>
      <c r="H4" s="16">
        <f t="shared" si="0"/>
        <v>218731.99000000011</v>
      </c>
      <c r="I4" s="9"/>
      <c r="J4" s="16">
        <f>I4+июнь!J4</f>
        <v>0</v>
      </c>
      <c r="K4" s="8"/>
      <c r="L4" s="15">
        <f>K4+июнь!L4</f>
        <v>0</v>
      </c>
    </row>
    <row r="5" spans="1:12">
      <c r="A5" s="1">
        <f t="shared" ref="A5:A22" si="1">A4+1</f>
        <v>3</v>
      </c>
      <c r="B5" s="38" t="str">
        <f>июнь!B5</f>
        <v>Горячее водоснабжение</v>
      </c>
      <c r="C5" s="8">
        <v>57342.69</v>
      </c>
      <c r="D5" s="15">
        <f>C5+июнь!D5</f>
        <v>375168.07</v>
      </c>
      <c r="E5" s="9">
        <v>62301.55</v>
      </c>
      <c r="F5" s="15">
        <f>E5+июнь!F5</f>
        <v>407473.44</v>
      </c>
      <c r="G5" s="15">
        <f t="shared" si="0"/>
        <v>4958.8600000000006</v>
      </c>
      <c r="H5" s="16">
        <f t="shared" si="0"/>
        <v>32305.369999999995</v>
      </c>
      <c r="I5" s="9"/>
      <c r="J5" s="16">
        <f>I5+июнь!J5</f>
        <v>0</v>
      </c>
      <c r="K5" s="8"/>
      <c r="L5" s="15">
        <f>K5+июнь!L5</f>
        <v>0</v>
      </c>
    </row>
    <row r="6" spans="1:12">
      <c r="A6" s="1">
        <f t="shared" si="1"/>
        <v>4</v>
      </c>
      <c r="B6" s="38" t="str">
        <f>июнь!B6</f>
        <v>Газ</v>
      </c>
      <c r="C6" s="8">
        <v>0</v>
      </c>
      <c r="D6" s="15">
        <f>C6+июнь!D6</f>
        <v>-87.84</v>
      </c>
      <c r="E6" s="9">
        <v>0</v>
      </c>
      <c r="F6" s="15">
        <f>E6+июнь!F6</f>
        <v>0</v>
      </c>
      <c r="G6" s="15">
        <f t="shared" si="0"/>
        <v>0</v>
      </c>
      <c r="H6" s="16">
        <f t="shared" si="0"/>
        <v>87.84</v>
      </c>
      <c r="I6" s="9"/>
      <c r="J6" s="16">
        <f>I6+июнь!J6</f>
        <v>0</v>
      </c>
      <c r="K6" s="8"/>
      <c r="L6" s="15">
        <f>K6+июнь!L6</f>
        <v>0</v>
      </c>
    </row>
    <row r="7" spans="1:12" ht="13.5" customHeight="1">
      <c r="A7" s="1">
        <f t="shared" si="1"/>
        <v>5</v>
      </c>
      <c r="B7" s="38" t="str">
        <f>июнь!B7</f>
        <v>Уборка и сан.очистка зем.участка</v>
      </c>
      <c r="C7" s="8">
        <v>6668.25</v>
      </c>
      <c r="D7" s="15">
        <f>C7+июнь!D7</f>
        <v>34202.33</v>
      </c>
      <c r="E7" s="9">
        <v>5657.75</v>
      </c>
      <c r="F7" s="15">
        <f>E7+июнь!F7</f>
        <v>35236.33</v>
      </c>
      <c r="G7" s="15">
        <f t="shared" si="0"/>
        <v>-1010.5</v>
      </c>
      <c r="H7" s="16">
        <f t="shared" si="0"/>
        <v>1034</v>
      </c>
      <c r="I7" s="9"/>
      <c r="J7" s="16">
        <f>I7+июнь!J7</f>
        <v>0</v>
      </c>
      <c r="K7" s="8"/>
      <c r="L7" s="15">
        <f>K7+июнь!L7</f>
        <v>0</v>
      </c>
    </row>
    <row r="8" spans="1:12" ht="15.75" customHeight="1">
      <c r="A8" s="1">
        <f t="shared" si="1"/>
        <v>6</v>
      </c>
      <c r="B8" s="38" t="str">
        <f>июнь!B8</f>
        <v>Электроснабжение(инд.потребление)</v>
      </c>
      <c r="C8" s="8">
        <v>38349.589999999997</v>
      </c>
      <c r="D8" s="15">
        <f>C8+июнь!D8</f>
        <v>230678.08</v>
      </c>
      <c r="E8" s="9">
        <v>39104.39</v>
      </c>
      <c r="F8" s="15">
        <f>E8+июнь!F8</f>
        <v>260280.95</v>
      </c>
      <c r="G8" s="15">
        <f t="shared" si="0"/>
        <v>754.80000000000291</v>
      </c>
      <c r="H8" s="16">
        <f t="shared" si="0"/>
        <v>29602.870000000024</v>
      </c>
      <c r="I8" s="9"/>
      <c r="J8" s="16">
        <f>I8+июнь!J8</f>
        <v>0</v>
      </c>
      <c r="K8" s="8"/>
      <c r="L8" s="15">
        <f>K8+июнь!L8</f>
        <v>0</v>
      </c>
    </row>
    <row r="9" spans="1:12">
      <c r="A9" s="1">
        <f t="shared" si="1"/>
        <v>7</v>
      </c>
      <c r="B9" s="38" t="str">
        <f>июнь!B9</f>
        <v>Холодная вода</v>
      </c>
      <c r="C9" s="8">
        <v>22670.17</v>
      </c>
      <c r="D9" s="15">
        <f>C9+июнь!D9</f>
        <v>139329.51999999999</v>
      </c>
      <c r="E9" s="9">
        <v>23631.64</v>
      </c>
      <c r="F9" s="15">
        <f>E9+июнь!F9</f>
        <v>151251.07</v>
      </c>
      <c r="G9" s="15">
        <f t="shared" si="0"/>
        <v>961.47000000000116</v>
      </c>
      <c r="H9" s="16">
        <f t="shared" si="0"/>
        <v>11921.550000000017</v>
      </c>
      <c r="I9" s="9"/>
      <c r="J9" s="16">
        <f>I9+июнь!J9</f>
        <v>0</v>
      </c>
      <c r="K9" s="8"/>
      <c r="L9" s="15">
        <f>K9+июнь!L9</f>
        <v>0</v>
      </c>
    </row>
    <row r="10" spans="1:12">
      <c r="A10" s="1">
        <f t="shared" si="1"/>
        <v>8</v>
      </c>
      <c r="B10" s="38" t="str">
        <f>июнь!B10</f>
        <v>Канализир.х.воды</v>
      </c>
      <c r="C10" s="8">
        <v>0</v>
      </c>
      <c r="D10" s="15">
        <f>C10+июнь!D10</f>
        <v>0</v>
      </c>
      <c r="E10" s="9">
        <v>0</v>
      </c>
      <c r="F10" s="15">
        <f>E10+июнь!F10</f>
        <v>114.22</v>
      </c>
      <c r="G10" s="15">
        <f t="shared" si="0"/>
        <v>0</v>
      </c>
      <c r="H10" s="16">
        <f t="shared" si="0"/>
        <v>114.22</v>
      </c>
      <c r="I10" s="9"/>
      <c r="J10" s="16">
        <f>I10+июнь!J10</f>
        <v>0</v>
      </c>
      <c r="K10" s="8"/>
      <c r="L10" s="15">
        <f>K10+июнь!L10</f>
        <v>0</v>
      </c>
    </row>
    <row r="11" spans="1:12">
      <c r="A11" s="1">
        <f t="shared" si="1"/>
        <v>9</v>
      </c>
      <c r="B11" s="38" t="str">
        <f>июнь!B11</f>
        <v>Канализир.г.воды</v>
      </c>
      <c r="C11" s="8">
        <v>0</v>
      </c>
      <c r="D11" s="15">
        <f>C11+июнь!D11</f>
        <v>0</v>
      </c>
      <c r="E11" s="9">
        <v>0</v>
      </c>
      <c r="F11" s="15">
        <f>E11+июнь!F11</f>
        <v>76.009999999999991</v>
      </c>
      <c r="G11" s="15">
        <f t="shared" si="0"/>
        <v>0</v>
      </c>
      <c r="H11" s="16">
        <f t="shared" si="0"/>
        <v>76.009999999999991</v>
      </c>
      <c r="I11" s="9"/>
      <c r="J11" s="16">
        <f>I11+июнь!J11</f>
        <v>0</v>
      </c>
      <c r="K11" s="8"/>
      <c r="L11" s="15">
        <f>K11+июнь!L11</f>
        <v>0</v>
      </c>
    </row>
    <row r="12" spans="1:12">
      <c r="A12" s="1">
        <f t="shared" si="1"/>
        <v>10</v>
      </c>
      <c r="B12" s="38" t="str">
        <f>июнь!B12</f>
        <v>Тек.рем.общ.имущ.дома</v>
      </c>
      <c r="C12" s="8">
        <v>22628.38</v>
      </c>
      <c r="D12" s="15">
        <f>C12+июнь!D12</f>
        <v>128418.31</v>
      </c>
      <c r="E12" s="9">
        <v>20230.87</v>
      </c>
      <c r="F12" s="15">
        <f>E12+июнь!F12</f>
        <v>133817.09</v>
      </c>
      <c r="G12" s="15">
        <f t="shared" si="0"/>
        <v>-2397.510000000002</v>
      </c>
      <c r="H12" s="16">
        <f t="shared" si="0"/>
        <v>5398.7799999999988</v>
      </c>
      <c r="I12" s="9"/>
      <c r="J12" s="16">
        <f>I12+июнь!J12</f>
        <v>0</v>
      </c>
      <c r="K12" s="8"/>
      <c r="L12" s="15">
        <f>K12+июнь!L12</f>
        <v>0</v>
      </c>
    </row>
    <row r="13" spans="1:12" ht="13.5" customHeight="1">
      <c r="A13" s="1">
        <f t="shared" si="1"/>
        <v>11</v>
      </c>
      <c r="B13" s="38" t="str">
        <f>июнь!B13</f>
        <v>Сод.и тек.рем.в/дом.газос.</v>
      </c>
      <c r="C13" s="8">
        <v>2477.8200000000002</v>
      </c>
      <c r="D13" s="15">
        <f>C13+июнь!D13</f>
        <v>14252.699999999999</v>
      </c>
      <c r="E13" s="9">
        <v>2231.06</v>
      </c>
      <c r="F13" s="15">
        <f>E13+июнь!F13</f>
        <v>14870.07</v>
      </c>
      <c r="G13" s="15">
        <f t="shared" si="0"/>
        <v>-246.76000000000022</v>
      </c>
      <c r="H13" s="16">
        <f t="shared" si="0"/>
        <v>617.3700000000008</v>
      </c>
      <c r="I13" s="9"/>
      <c r="J13" s="16">
        <f>I13+июнь!J13</f>
        <v>0</v>
      </c>
      <c r="K13" s="8"/>
      <c r="L13" s="15">
        <f>K13+июнь!L13</f>
        <v>0</v>
      </c>
    </row>
    <row r="14" spans="1:12" ht="15" customHeight="1">
      <c r="A14" s="1">
        <f t="shared" si="1"/>
        <v>12</v>
      </c>
      <c r="B14" s="38" t="str">
        <f>июнь!B14</f>
        <v>Управление многокварт.</v>
      </c>
      <c r="C14" s="8">
        <v>9364.66</v>
      </c>
      <c r="D14" s="15">
        <f>C14+июнь!D14</f>
        <v>50847.289999999994</v>
      </c>
      <c r="E14" s="9">
        <v>8158.11</v>
      </c>
      <c r="F14" s="15">
        <f>E14+июнь!F14</f>
        <v>52442.47</v>
      </c>
      <c r="G14" s="15">
        <f t="shared" si="0"/>
        <v>-1206.5500000000002</v>
      </c>
      <c r="H14" s="16">
        <f t="shared" si="0"/>
        <v>1595.1800000000076</v>
      </c>
      <c r="I14" s="9"/>
      <c r="J14" s="16">
        <f>I14+июнь!J14</f>
        <v>0</v>
      </c>
      <c r="K14" s="8"/>
      <c r="L14" s="15">
        <f>K14+июнь!L14</f>
        <v>0</v>
      </c>
    </row>
    <row r="15" spans="1:12">
      <c r="A15" s="1">
        <f t="shared" si="1"/>
        <v>13</v>
      </c>
      <c r="B15" s="38" t="str">
        <f>июнь!B15</f>
        <v>Водоотведение(кв)</v>
      </c>
      <c r="C15" s="8">
        <v>38739.5</v>
      </c>
      <c r="D15" s="15">
        <f>C15+июнь!D15</f>
        <v>236552.95</v>
      </c>
      <c r="E15" s="9">
        <v>40515.24</v>
      </c>
      <c r="F15" s="15">
        <f>E15+июнь!F15</f>
        <v>259087.40000000002</v>
      </c>
      <c r="G15" s="15">
        <f t="shared" si="0"/>
        <v>1775.739999999998</v>
      </c>
      <c r="H15" s="16">
        <f t="shared" si="0"/>
        <v>22534.450000000012</v>
      </c>
      <c r="I15" s="9"/>
      <c r="J15" s="16">
        <f>I15+июнь!J15</f>
        <v>0</v>
      </c>
      <c r="K15" s="8"/>
      <c r="L15" s="15">
        <f>K15+июнь!L15</f>
        <v>0</v>
      </c>
    </row>
    <row r="16" spans="1:12">
      <c r="A16" s="1">
        <f t="shared" si="1"/>
        <v>14</v>
      </c>
      <c r="B16" s="38" t="str">
        <f>июнь!B16</f>
        <v>Эксплуатация общ.ПУ</v>
      </c>
      <c r="C16" s="8">
        <v>2404.9299999999998</v>
      </c>
      <c r="D16" s="15">
        <f>C16+июнь!D16</f>
        <v>13635.75</v>
      </c>
      <c r="E16" s="9">
        <v>2138.42</v>
      </c>
      <c r="F16" s="15">
        <f>E16+июнь!F16</f>
        <v>14224.28</v>
      </c>
      <c r="G16" s="15">
        <f t="shared" si="0"/>
        <v>-266.50999999999976</v>
      </c>
      <c r="H16" s="16">
        <f t="shared" si="0"/>
        <v>588.53000000000065</v>
      </c>
      <c r="I16" s="9"/>
      <c r="J16" s="16">
        <f>I16+июнь!J16</f>
        <v>0</v>
      </c>
      <c r="K16" s="8"/>
      <c r="L16" s="15">
        <f>K16+июнь!L16</f>
        <v>0</v>
      </c>
    </row>
    <row r="17" spans="1:12" ht="16.5" customHeight="1">
      <c r="A17" s="1">
        <f t="shared" si="1"/>
        <v>15</v>
      </c>
      <c r="B17" s="38" t="str">
        <f>июнь!B17</f>
        <v>Водоотведение(о/д нужд)</v>
      </c>
      <c r="C17" s="8">
        <v>0</v>
      </c>
      <c r="D17" s="15">
        <f>C17+июнь!D17</f>
        <v>0</v>
      </c>
      <c r="E17" s="9">
        <v>0</v>
      </c>
      <c r="F17" s="15">
        <f>E17+июнь!F17</f>
        <v>0</v>
      </c>
      <c r="G17" s="15">
        <f t="shared" si="0"/>
        <v>0</v>
      </c>
      <c r="H17" s="16">
        <f t="shared" si="0"/>
        <v>0</v>
      </c>
      <c r="I17" s="9"/>
      <c r="J17" s="16">
        <f>I17+июнь!J17</f>
        <v>0</v>
      </c>
      <c r="K17" s="8"/>
      <c r="L17" s="15">
        <f>K17+июнь!L17</f>
        <v>0</v>
      </c>
    </row>
    <row r="18" spans="1:12">
      <c r="A18" s="1">
        <f t="shared" si="1"/>
        <v>16</v>
      </c>
      <c r="B18" s="38" t="str">
        <f>июнь!B18</f>
        <v>Отопление(о/д нужд)</v>
      </c>
      <c r="C18" s="8">
        <v>0</v>
      </c>
      <c r="D18" s="15">
        <f>C18+июнь!D18</f>
        <v>0</v>
      </c>
      <c r="E18" s="9">
        <v>29.72</v>
      </c>
      <c r="F18" s="15">
        <f>E18+июнь!F18</f>
        <v>29.72</v>
      </c>
      <c r="G18" s="15">
        <f t="shared" si="0"/>
        <v>29.72</v>
      </c>
      <c r="H18" s="16">
        <f t="shared" si="0"/>
        <v>29.72</v>
      </c>
      <c r="I18" s="9"/>
      <c r="J18" s="16">
        <f>I18+июнь!J18</f>
        <v>0</v>
      </c>
      <c r="K18" s="8"/>
      <c r="L18" s="15">
        <f>K18+июнь!L18</f>
        <v>0</v>
      </c>
    </row>
    <row r="19" spans="1:12" ht="12.75" customHeight="1">
      <c r="A19" s="1">
        <f t="shared" si="1"/>
        <v>17</v>
      </c>
      <c r="B19" s="38" t="str">
        <f>июнь!B19</f>
        <v>Электроснабжение(общед.нужды)</v>
      </c>
      <c r="C19" s="8">
        <v>23186.09</v>
      </c>
      <c r="D19" s="15">
        <f>C19+июнь!D19</f>
        <v>133428.21</v>
      </c>
      <c r="E19" s="9">
        <v>20637.41</v>
      </c>
      <c r="F19" s="15">
        <f>E19+июнь!F19</f>
        <v>157217.1</v>
      </c>
      <c r="G19" s="15">
        <f t="shared" si="0"/>
        <v>-2548.6800000000003</v>
      </c>
      <c r="H19" s="16">
        <f t="shared" si="0"/>
        <v>23788.890000000014</v>
      </c>
      <c r="I19" s="9"/>
      <c r="J19" s="16">
        <f>I19+июнь!J19</f>
        <v>0</v>
      </c>
      <c r="K19" s="9"/>
      <c r="L19" s="15">
        <f>K19+июнь!L19</f>
        <v>0</v>
      </c>
    </row>
    <row r="20" spans="1:12" ht="12.75" customHeight="1">
      <c r="A20" s="1">
        <f t="shared" si="1"/>
        <v>18</v>
      </c>
      <c r="B20" s="38" t="str">
        <f>июнь!B20</f>
        <v>Горячее водоснабж.(о/д нужды)</v>
      </c>
      <c r="C20" s="8">
        <v>1212.45</v>
      </c>
      <c r="D20" s="15">
        <f>C20+июнь!D20</f>
        <v>5435.0700000000006</v>
      </c>
      <c r="E20" s="9">
        <v>1054.3499999999999</v>
      </c>
      <c r="F20" s="15">
        <f>E20+июнь!F20</f>
        <v>4993.1000000000004</v>
      </c>
      <c r="G20" s="15">
        <f t="shared" si="0"/>
        <v>-158.10000000000014</v>
      </c>
      <c r="H20" s="16">
        <f t="shared" si="0"/>
        <v>-441.97000000000025</v>
      </c>
      <c r="I20" s="9"/>
      <c r="J20" s="16">
        <f>I20+июнь!J20</f>
        <v>0</v>
      </c>
      <c r="K20" s="8"/>
      <c r="L20" s="15">
        <f>K20+июнь!L20</f>
        <v>0</v>
      </c>
    </row>
    <row r="21" spans="1:12" ht="13.5" customHeight="1">
      <c r="A21" s="1">
        <f t="shared" si="1"/>
        <v>19</v>
      </c>
      <c r="B21" s="38" t="str">
        <f>июнь!B21</f>
        <v>Хлодное водоснаб. (о/д нужды)</v>
      </c>
      <c r="C21" s="8">
        <v>489.72</v>
      </c>
      <c r="D21" s="15">
        <f>C21+июнь!D21</f>
        <v>2101.29</v>
      </c>
      <c r="E21" s="9">
        <v>535.91999999999996</v>
      </c>
      <c r="F21" s="15">
        <f>E21+июнь!F21</f>
        <v>2707.1</v>
      </c>
      <c r="G21" s="15">
        <f t="shared" si="0"/>
        <v>46.199999999999932</v>
      </c>
      <c r="H21" s="16">
        <f t="shared" si="0"/>
        <v>605.80999999999995</v>
      </c>
      <c r="I21" s="9"/>
      <c r="J21" s="16">
        <f>I21+июнь!J21</f>
        <v>0</v>
      </c>
      <c r="K21" s="8"/>
      <c r="L21" s="15">
        <f>K21+июнь!L21</f>
        <v>0</v>
      </c>
    </row>
    <row r="22" spans="1:12">
      <c r="A22" s="1">
        <f t="shared" si="1"/>
        <v>20</v>
      </c>
      <c r="B22" s="38">
        <f>июнь!B22</f>
        <v>0</v>
      </c>
      <c r="C22" s="8"/>
      <c r="D22" s="15">
        <f>C22+июнь!D22</f>
        <v>0</v>
      </c>
      <c r="E22" s="9"/>
      <c r="F22" s="15">
        <f>E22+июнь!F22</f>
        <v>0</v>
      </c>
      <c r="G22" s="15">
        <f t="shared" si="0"/>
        <v>0</v>
      </c>
      <c r="H22" s="16">
        <f t="shared" si="0"/>
        <v>0</v>
      </c>
      <c r="I22" s="9"/>
      <c r="J22" s="16">
        <f>I22+июнь!J22</f>
        <v>0</v>
      </c>
      <c r="K22" s="8"/>
      <c r="L22" s="15">
        <f>K22+июнь!L22</f>
        <v>0</v>
      </c>
    </row>
    <row r="23" spans="1:12">
      <c r="A23" s="1"/>
      <c r="B23" s="21" t="s">
        <v>12</v>
      </c>
      <c r="C23" s="15">
        <f t="shared" ref="C23:L23" si="2">SUM(C3:C22)</f>
        <v>268896.08999999997</v>
      </c>
      <c r="D23" s="15">
        <f t="shared" si="2"/>
        <v>2129218.9900000002</v>
      </c>
      <c r="E23" s="16">
        <f t="shared" si="2"/>
        <v>289821.97999999986</v>
      </c>
      <c r="F23" s="15">
        <f t="shared" si="2"/>
        <v>2486565.0400000005</v>
      </c>
      <c r="G23" s="15">
        <f t="shared" si="2"/>
        <v>20925.89000000001</v>
      </c>
      <c r="H23" s="16">
        <f t="shared" si="2"/>
        <v>357346.05000000022</v>
      </c>
      <c r="I23" s="16">
        <f t="shared" si="2"/>
        <v>0</v>
      </c>
      <c r="J23" s="16">
        <f t="shared" si="2"/>
        <v>0</v>
      </c>
      <c r="K23" s="15">
        <f t="shared" si="2"/>
        <v>0</v>
      </c>
      <c r="L23" s="15">
        <f t="shared" si="2"/>
        <v>0</v>
      </c>
    </row>
    <row r="24" spans="1:12">
      <c r="B24" s="1" t="s">
        <v>35</v>
      </c>
      <c r="C24" s="9">
        <f>C9+C10+C11+C15+C17+C21</f>
        <v>61899.39</v>
      </c>
      <c r="D24" s="9">
        <f t="shared" ref="D24:J24" si="3">D9+D10+D11+D15+D17+D21</f>
        <v>377983.75999999995</v>
      </c>
      <c r="E24" s="9">
        <f t="shared" si="3"/>
        <v>64682.799999999996</v>
      </c>
      <c r="F24" s="9">
        <f t="shared" si="3"/>
        <v>413235.80000000005</v>
      </c>
      <c r="G24" s="9">
        <f t="shared" si="3"/>
        <v>2783.4099999999989</v>
      </c>
      <c r="H24" s="9">
        <f t="shared" si="3"/>
        <v>35252.040000000023</v>
      </c>
      <c r="I24" s="9">
        <f t="shared" si="3"/>
        <v>0</v>
      </c>
      <c r="J24" s="9">
        <f t="shared" si="3"/>
        <v>0</v>
      </c>
    </row>
    <row r="25" spans="1:12">
      <c r="B25" s="1" t="s">
        <v>38</v>
      </c>
      <c r="C25" s="9">
        <f>C8+C19</f>
        <v>61535.679999999993</v>
      </c>
      <c r="D25" s="9">
        <f t="shared" ref="D25:J25" si="4">D8+D19</f>
        <v>364106.29</v>
      </c>
      <c r="E25" s="9">
        <f t="shared" si="4"/>
        <v>59741.8</v>
      </c>
      <c r="F25" s="9">
        <f t="shared" si="4"/>
        <v>417498.05000000005</v>
      </c>
      <c r="G25" s="9">
        <f t="shared" si="4"/>
        <v>-1793.8799999999974</v>
      </c>
      <c r="H25" s="9">
        <f t="shared" si="4"/>
        <v>53391.760000000038</v>
      </c>
      <c r="I25" s="9">
        <f t="shared" si="4"/>
        <v>0</v>
      </c>
      <c r="J25" s="9">
        <f t="shared" si="4"/>
        <v>0</v>
      </c>
    </row>
    <row r="26" spans="1:12">
      <c r="B26" s="1" t="s">
        <v>39</v>
      </c>
      <c r="C26" s="9">
        <f>C4+C5+C18+C20</f>
        <v>58555.14</v>
      </c>
      <c r="D26" s="9">
        <f t="shared" ref="D26:J26" si="5">D4+D5+D18+D20</f>
        <v>901774.9</v>
      </c>
      <c r="E26" s="9">
        <f t="shared" si="5"/>
        <v>88449.640000000014</v>
      </c>
      <c r="F26" s="9">
        <f t="shared" si="5"/>
        <v>1152400.0100000002</v>
      </c>
      <c r="G26" s="9">
        <f t="shared" si="5"/>
        <v>29894.500000000004</v>
      </c>
      <c r="H26" s="9">
        <f t="shared" si="5"/>
        <v>250625.1100000001</v>
      </c>
      <c r="I26" s="9">
        <f t="shared" si="5"/>
        <v>0</v>
      </c>
      <c r="J26" s="9">
        <f t="shared" si="5"/>
        <v>0</v>
      </c>
    </row>
    <row r="30" spans="1:12">
      <c r="E30">
        <v>232995.64</v>
      </c>
      <c r="F30">
        <v>259422.52</v>
      </c>
    </row>
    <row r="31" spans="1:12">
      <c r="E31">
        <v>35900.449999999997</v>
      </c>
      <c r="F31">
        <v>30399.46</v>
      </c>
    </row>
    <row r="32" spans="1:12">
      <c r="E32" s="11">
        <f>E30+E31</f>
        <v>268896.09000000003</v>
      </c>
      <c r="F32" s="11">
        <f>F30+F31</f>
        <v>289821.98</v>
      </c>
    </row>
  </sheetData>
  <mergeCells count="1">
    <mergeCell ref="C1:H1"/>
  </mergeCells>
  <phoneticPr fontId="0" type="noConversion"/>
  <pageMargins left="0.75" right="0.75" top="1" bottom="1" header="0.5" footer="0.5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2:L33"/>
  <sheetViews>
    <sheetView workbookViewId="0">
      <selection activeCell="E17" sqref="E17"/>
    </sheetView>
  </sheetViews>
  <sheetFormatPr defaultRowHeight="12.75"/>
  <cols>
    <col min="1" max="1" width="3.5703125" customWidth="1"/>
    <col min="2" max="2" width="36.28515625" customWidth="1"/>
    <col min="3" max="3" width="14.140625" customWidth="1"/>
    <col min="4" max="4" width="11.5703125" customWidth="1"/>
    <col min="5" max="5" width="11.85546875" customWidth="1"/>
    <col min="6" max="6" width="11.42578125" customWidth="1"/>
    <col min="7" max="7" width="9.7109375" bestFit="1" customWidth="1"/>
    <col min="8" max="8" width="10.85546875" customWidth="1"/>
    <col min="9" max="9" width="10.42578125" customWidth="1"/>
    <col min="10" max="10" width="10.85546875" customWidth="1"/>
    <col min="11" max="11" width="10.140625" bestFit="1" customWidth="1"/>
    <col min="12" max="12" width="11.28515625" customWidth="1"/>
  </cols>
  <sheetData>
    <row r="2" spans="1:12" s="30" customFormat="1" ht="38.25">
      <c r="A2" s="17" t="s">
        <v>0</v>
      </c>
      <c r="B2" s="25" t="s">
        <v>1</v>
      </c>
      <c r="C2" s="26" t="s">
        <v>2</v>
      </c>
      <c r="D2" s="27" t="s">
        <v>3</v>
      </c>
      <c r="E2" s="28" t="s">
        <v>4</v>
      </c>
      <c r="F2" s="27" t="s">
        <v>5</v>
      </c>
      <c r="G2" s="27" t="s">
        <v>6</v>
      </c>
      <c r="H2" s="29" t="s">
        <v>7</v>
      </c>
      <c r="I2" s="28" t="s">
        <v>8</v>
      </c>
      <c r="J2" s="29" t="s">
        <v>9</v>
      </c>
      <c r="K2" s="25" t="s">
        <v>10</v>
      </c>
      <c r="L2" s="27" t="s">
        <v>11</v>
      </c>
    </row>
    <row r="3" spans="1:12" ht="18" customHeight="1">
      <c r="A3" s="1">
        <v>1</v>
      </c>
      <c r="B3" s="38" t="str">
        <f>июль!B3</f>
        <v>Содержание общ.имущ.дома</v>
      </c>
      <c r="C3" s="8">
        <f>38163.56+5198.28</f>
        <v>43361.84</v>
      </c>
      <c r="D3" s="15">
        <f>C3+июль!D3</f>
        <v>287447.33999999997</v>
      </c>
      <c r="E3" s="9">
        <f>6343.95+35129.23</f>
        <v>41473.18</v>
      </c>
      <c r="F3" s="15">
        <f>E3+июль!F3</f>
        <v>294314.12</v>
      </c>
      <c r="G3" s="15">
        <f>E3-C3</f>
        <v>-1888.6599999999962</v>
      </c>
      <c r="H3" s="16">
        <f>F3-D3</f>
        <v>6866.7800000000279</v>
      </c>
      <c r="I3" s="9"/>
      <c r="J3" s="16">
        <f>I3+июль!J3</f>
        <v>0</v>
      </c>
      <c r="K3" s="8"/>
      <c r="L3" s="15">
        <f>K3+июль!L3</f>
        <v>0</v>
      </c>
    </row>
    <row r="4" spans="1:12">
      <c r="A4" s="1">
        <f>A3+1</f>
        <v>2</v>
      </c>
      <c r="B4" s="38" t="str">
        <f>июль!B4</f>
        <v>Отопление</v>
      </c>
      <c r="C4" s="8">
        <f>0+0</f>
        <v>0</v>
      </c>
      <c r="D4" s="15">
        <f>C4+июль!D4</f>
        <v>521171.76</v>
      </c>
      <c r="E4" s="9">
        <f>9700.3+5020.5</f>
        <v>14720.8</v>
      </c>
      <c r="F4" s="15">
        <f>E4+июль!F4</f>
        <v>754624.55000000016</v>
      </c>
      <c r="G4" s="15">
        <f t="shared" ref="G4:H22" si="0">E4-C4</f>
        <v>14720.8</v>
      </c>
      <c r="H4" s="16">
        <f t="shared" si="0"/>
        <v>233452.79000000015</v>
      </c>
      <c r="I4" s="9"/>
      <c r="J4" s="16">
        <f>I4+июль!J4</f>
        <v>0</v>
      </c>
      <c r="K4" s="8"/>
      <c r="L4" s="15">
        <f>K4+июль!L4</f>
        <v>0</v>
      </c>
    </row>
    <row r="5" spans="1:12" ht="15.75" customHeight="1">
      <c r="A5" s="1">
        <f t="shared" ref="A5:A22" si="1">A4+1</f>
        <v>3</v>
      </c>
      <c r="B5" s="38" t="str">
        <f>июль!B5</f>
        <v>Горячее водоснабжение</v>
      </c>
      <c r="C5" s="8">
        <f>8412.15+57138.28</f>
        <v>65550.429999999993</v>
      </c>
      <c r="D5" s="15">
        <f>C5+июль!D5</f>
        <v>440718.5</v>
      </c>
      <c r="E5" s="9">
        <f>58033.14+10833.99</f>
        <v>68867.13</v>
      </c>
      <c r="F5" s="15">
        <f>E5+июль!F5</f>
        <v>476340.57</v>
      </c>
      <c r="G5" s="15">
        <f t="shared" si="0"/>
        <v>3316.7000000000116</v>
      </c>
      <c r="H5" s="16">
        <f t="shared" si="0"/>
        <v>35622.070000000007</v>
      </c>
      <c r="I5" s="9"/>
      <c r="J5" s="16">
        <f>I5+июль!J5</f>
        <v>0</v>
      </c>
      <c r="K5" s="8"/>
      <c r="L5" s="15">
        <f>K5+июль!L5</f>
        <v>0</v>
      </c>
    </row>
    <row r="6" spans="1:12">
      <c r="A6" s="1">
        <f t="shared" si="1"/>
        <v>4</v>
      </c>
      <c r="B6" s="38" t="str">
        <f>июль!B6</f>
        <v>Газ</v>
      </c>
      <c r="C6" s="8">
        <f>0+0</f>
        <v>0</v>
      </c>
      <c r="D6" s="15">
        <f>C6+июль!D6</f>
        <v>-87.84</v>
      </c>
      <c r="E6" s="9">
        <f>0+0</f>
        <v>0</v>
      </c>
      <c r="F6" s="15">
        <f>E6+июль!F6</f>
        <v>0</v>
      </c>
      <c r="G6" s="15">
        <f t="shared" si="0"/>
        <v>0</v>
      </c>
      <c r="H6" s="16">
        <f t="shared" si="0"/>
        <v>87.84</v>
      </c>
      <c r="I6" s="9"/>
      <c r="J6" s="16">
        <f>I6+июль!J6</f>
        <v>0</v>
      </c>
      <c r="K6" s="8"/>
      <c r="L6" s="15">
        <f>K6+июль!L6</f>
        <v>0</v>
      </c>
    </row>
    <row r="7" spans="1:12" ht="15" customHeight="1">
      <c r="A7" s="1">
        <f t="shared" si="1"/>
        <v>5</v>
      </c>
      <c r="B7" s="38" t="str">
        <f>июль!B7</f>
        <v>Уборка и сан.очистка зем.участка</v>
      </c>
      <c r="C7" s="8">
        <f>5868.86+799.39</f>
        <v>6668.25</v>
      </c>
      <c r="D7" s="15">
        <f>C7+июль!D7</f>
        <v>40870.58</v>
      </c>
      <c r="E7" s="9">
        <f>934.88+5343.64</f>
        <v>6278.52</v>
      </c>
      <c r="F7" s="15">
        <f>E7+июль!F7</f>
        <v>41514.850000000006</v>
      </c>
      <c r="G7" s="15">
        <f t="shared" si="0"/>
        <v>-389.72999999999956</v>
      </c>
      <c r="H7" s="16">
        <f t="shared" si="0"/>
        <v>644.27000000000407</v>
      </c>
      <c r="I7" s="9"/>
      <c r="J7" s="16">
        <f>I7+июль!J7</f>
        <v>0</v>
      </c>
      <c r="K7" s="8"/>
      <c r="L7" s="15">
        <f>K7+июль!L7</f>
        <v>0</v>
      </c>
    </row>
    <row r="8" spans="1:12" ht="14.25" customHeight="1">
      <c r="A8" s="1">
        <f t="shared" si="1"/>
        <v>6</v>
      </c>
      <c r="B8" s="38" t="str">
        <f>июль!B8</f>
        <v>Электроснабжение(инд.потребление)</v>
      </c>
      <c r="C8" s="8">
        <f>36123.3+5162.4</f>
        <v>41285.700000000004</v>
      </c>
      <c r="D8" s="15">
        <f>C8+июль!D8</f>
        <v>271963.77999999997</v>
      </c>
      <c r="E8" s="9">
        <f>6837.38+36328.09</f>
        <v>43165.469999999994</v>
      </c>
      <c r="F8" s="15">
        <f>E8+июль!F8</f>
        <v>303446.42</v>
      </c>
      <c r="G8" s="15">
        <f t="shared" si="0"/>
        <v>1879.7699999999895</v>
      </c>
      <c r="H8" s="16">
        <f t="shared" si="0"/>
        <v>31482.640000000014</v>
      </c>
      <c r="I8" s="9"/>
      <c r="J8" s="16">
        <f>I8+июль!J8</f>
        <v>0</v>
      </c>
      <c r="K8" s="8"/>
      <c r="L8" s="15">
        <f>K8+июль!L8</f>
        <v>0</v>
      </c>
    </row>
    <row r="9" spans="1:12">
      <c r="A9" s="1">
        <f t="shared" si="1"/>
        <v>7</v>
      </c>
      <c r="B9" s="38" t="str">
        <f>июль!B9</f>
        <v>Холодная вода</v>
      </c>
      <c r="C9" s="8">
        <f>22378.5+3291.6</f>
        <v>25670.1</v>
      </c>
      <c r="D9" s="15">
        <f>C9+июль!D9</f>
        <v>164999.62</v>
      </c>
      <c r="E9" s="9">
        <f>4157.71+22519.28</f>
        <v>26676.989999999998</v>
      </c>
      <c r="F9" s="15">
        <f>E9+июль!F9</f>
        <v>177928.06</v>
      </c>
      <c r="G9" s="15">
        <f t="shared" si="0"/>
        <v>1006.8899999999994</v>
      </c>
      <c r="H9" s="16">
        <f t="shared" si="0"/>
        <v>12928.440000000002</v>
      </c>
      <c r="I9" s="9"/>
      <c r="J9" s="16">
        <f>I9+июль!J9</f>
        <v>0</v>
      </c>
      <c r="K9" s="8"/>
      <c r="L9" s="15">
        <f>K9+июль!L9</f>
        <v>0</v>
      </c>
    </row>
    <row r="10" spans="1:12">
      <c r="A10" s="1">
        <f t="shared" si="1"/>
        <v>8</v>
      </c>
      <c r="B10" s="38" t="str">
        <f>июль!B10</f>
        <v>Канализир.х.воды</v>
      </c>
      <c r="C10" s="8">
        <f>0+0</f>
        <v>0</v>
      </c>
      <c r="D10" s="15">
        <f>C10+июль!D10</f>
        <v>0</v>
      </c>
      <c r="E10" s="9">
        <f>0+0</f>
        <v>0</v>
      </c>
      <c r="F10" s="15">
        <f>E10+июль!F10</f>
        <v>114.22</v>
      </c>
      <c r="G10" s="15">
        <f t="shared" si="0"/>
        <v>0</v>
      </c>
      <c r="H10" s="16">
        <f t="shared" si="0"/>
        <v>114.22</v>
      </c>
      <c r="I10" s="9"/>
      <c r="J10" s="16">
        <f>I10+июль!J10</f>
        <v>0</v>
      </c>
      <c r="K10" s="8"/>
      <c r="L10" s="15">
        <f>K10+июль!L10</f>
        <v>0</v>
      </c>
    </row>
    <row r="11" spans="1:12">
      <c r="A11" s="1">
        <f t="shared" si="1"/>
        <v>9</v>
      </c>
      <c r="B11" s="38" t="str">
        <f>июль!B11</f>
        <v>Канализир.г.воды</v>
      </c>
      <c r="C11" s="8">
        <f>0+0</f>
        <v>0</v>
      </c>
      <c r="D11" s="15">
        <f>C11+июль!D11</f>
        <v>0</v>
      </c>
      <c r="E11" s="9">
        <f>0+0</f>
        <v>0</v>
      </c>
      <c r="F11" s="15">
        <f>E11+июль!F11</f>
        <v>76.009999999999991</v>
      </c>
      <c r="G11" s="15">
        <f t="shared" si="0"/>
        <v>0</v>
      </c>
      <c r="H11" s="16">
        <f t="shared" si="0"/>
        <v>76.009999999999991</v>
      </c>
      <c r="I11" s="9"/>
      <c r="J11" s="16">
        <f>I11+июль!J11</f>
        <v>0</v>
      </c>
      <c r="K11" s="8"/>
      <c r="L11" s="15">
        <f>K11+июль!L11</f>
        <v>0</v>
      </c>
    </row>
    <row r="12" spans="1:12" ht="12.75" customHeight="1">
      <c r="A12" s="1">
        <f t="shared" si="1"/>
        <v>10</v>
      </c>
      <c r="B12" s="38" t="str">
        <f>июль!B12</f>
        <v>Тек.рем.общ.имущ.дома</v>
      </c>
      <c r="C12" s="8">
        <f>2712.72+19915.66</f>
        <v>22628.38</v>
      </c>
      <c r="D12" s="15">
        <f>C12+июль!D12</f>
        <v>151046.69</v>
      </c>
      <c r="E12" s="9">
        <f>18359.14+3323.4</f>
        <v>21682.54</v>
      </c>
      <c r="F12" s="15">
        <f>E12+июль!F12</f>
        <v>155499.63</v>
      </c>
      <c r="G12" s="15">
        <f t="shared" si="0"/>
        <v>-945.84000000000015</v>
      </c>
      <c r="H12" s="16">
        <f t="shared" si="0"/>
        <v>4452.9400000000023</v>
      </c>
      <c r="I12" s="9"/>
      <c r="J12" s="16">
        <f>I12+июль!J12</f>
        <v>0</v>
      </c>
      <c r="K12" s="8"/>
      <c r="L12" s="15">
        <f>K12+июль!L12</f>
        <v>0</v>
      </c>
    </row>
    <row r="13" spans="1:12" ht="13.5" customHeight="1">
      <c r="A13" s="1">
        <f t="shared" si="1"/>
        <v>11</v>
      </c>
      <c r="B13" s="38" t="str">
        <f>июль!B13</f>
        <v>Сод.и тек.рем.в/дом.газос.</v>
      </c>
      <c r="C13" s="8">
        <f>297.04+2180.78</f>
        <v>2477.8200000000002</v>
      </c>
      <c r="D13" s="15">
        <f>C13+июль!D13</f>
        <v>16730.52</v>
      </c>
      <c r="E13" s="9">
        <f>2013.86+366.26</f>
        <v>2380.12</v>
      </c>
      <c r="F13" s="15">
        <f>E13+июль!F13</f>
        <v>17250.189999999999</v>
      </c>
      <c r="G13" s="15">
        <f t="shared" si="0"/>
        <v>-97.700000000000273</v>
      </c>
      <c r="H13" s="16">
        <f t="shared" si="0"/>
        <v>519.66999999999825</v>
      </c>
      <c r="I13" s="9"/>
      <c r="J13" s="16">
        <f>I13+июль!J13</f>
        <v>0</v>
      </c>
      <c r="K13" s="8"/>
      <c r="L13" s="15">
        <f>K13+июль!L13</f>
        <v>0</v>
      </c>
    </row>
    <row r="14" spans="1:12" ht="15.75" customHeight="1">
      <c r="A14" s="1">
        <f t="shared" si="1"/>
        <v>12</v>
      </c>
      <c r="B14" s="38" t="str">
        <f>июль!B14</f>
        <v>Управление многокварт.</v>
      </c>
      <c r="C14" s="8">
        <f>1122.66+8242</f>
        <v>9364.66</v>
      </c>
      <c r="D14" s="15">
        <f>C14+июль!D14</f>
        <v>60211.95</v>
      </c>
      <c r="E14" s="9">
        <f>7555.49+1347.34</f>
        <v>8902.83</v>
      </c>
      <c r="F14" s="15">
        <f>E14+июль!F14</f>
        <v>61345.3</v>
      </c>
      <c r="G14" s="15">
        <f t="shared" si="0"/>
        <v>-461.82999999999993</v>
      </c>
      <c r="H14" s="16">
        <f t="shared" si="0"/>
        <v>1133.3500000000058</v>
      </c>
      <c r="I14" s="9"/>
      <c r="J14" s="16">
        <f>I14+июль!J14</f>
        <v>0</v>
      </c>
      <c r="K14" s="8"/>
      <c r="L14" s="15">
        <f>K14+июль!L14</f>
        <v>0</v>
      </c>
    </row>
    <row r="15" spans="1:12">
      <c r="A15" s="1">
        <f t="shared" si="1"/>
        <v>13</v>
      </c>
      <c r="B15" s="38" t="str">
        <f>июль!B15</f>
        <v>Водоотведение(кв)</v>
      </c>
      <c r="C15" s="8">
        <f>5629.35+38249.29</f>
        <v>43878.64</v>
      </c>
      <c r="D15" s="15">
        <f>C15+июль!D15</f>
        <v>280431.59000000003</v>
      </c>
      <c r="E15" s="9">
        <f>38517.07+7110.55</f>
        <v>45627.62</v>
      </c>
      <c r="F15" s="15">
        <f>E15+июль!F15</f>
        <v>304715.02</v>
      </c>
      <c r="G15" s="15">
        <f t="shared" si="0"/>
        <v>1748.9800000000032</v>
      </c>
      <c r="H15" s="16">
        <f t="shared" si="0"/>
        <v>24283.429999999993</v>
      </c>
      <c r="I15" s="9"/>
      <c r="J15" s="16">
        <f>I15+июль!J15</f>
        <v>0</v>
      </c>
      <c r="K15" s="8"/>
      <c r="L15" s="15">
        <f>K15+июль!L15</f>
        <v>0</v>
      </c>
    </row>
    <row r="16" spans="1:12">
      <c r="A16" s="1">
        <f t="shared" si="1"/>
        <v>14</v>
      </c>
      <c r="B16" s="38" t="str">
        <f>июль!B16</f>
        <v>Эксплуатация общ.ПУ</v>
      </c>
      <c r="C16" s="8">
        <f>288.31+2116.62</f>
        <v>2404.9299999999998</v>
      </c>
      <c r="D16" s="15">
        <f>C16+июль!D16</f>
        <v>16040.68</v>
      </c>
      <c r="E16" s="9">
        <f>1950.7+353.07</f>
        <v>2303.77</v>
      </c>
      <c r="F16" s="15">
        <f>E16+июль!F16</f>
        <v>16528.05</v>
      </c>
      <c r="G16" s="15">
        <f t="shared" si="0"/>
        <v>-101.15999999999985</v>
      </c>
      <c r="H16" s="16">
        <f t="shared" si="0"/>
        <v>487.36999999999898</v>
      </c>
      <c r="I16" s="9"/>
      <c r="J16" s="16">
        <f>I16+июль!J16</f>
        <v>0</v>
      </c>
      <c r="K16" s="8"/>
      <c r="L16" s="15">
        <f>K16+июль!L16</f>
        <v>0</v>
      </c>
    </row>
    <row r="17" spans="1:12" ht="12.75" customHeight="1">
      <c r="A17" s="1">
        <f t="shared" si="1"/>
        <v>15</v>
      </c>
      <c r="B17" s="38" t="str">
        <f>июль!B17</f>
        <v>Водоотведение(о/д нужд)</v>
      </c>
      <c r="C17" s="8">
        <f>0+0</f>
        <v>0</v>
      </c>
      <c r="D17" s="15">
        <f>C17+июль!D17</f>
        <v>0</v>
      </c>
      <c r="E17" s="9">
        <f>0+0</f>
        <v>0</v>
      </c>
      <c r="F17" s="15">
        <f>E17+июль!F17</f>
        <v>0</v>
      </c>
      <c r="G17" s="15">
        <f t="shared" si="0"/>
        <v>0</v>
      </c>
      <c r="H17" s="16">
        <f t="shared" si="0"/>
        <v>0</v>
      </c>
      <c r="I17" s="9"/>
      <c r="J17" s="16">
        <f>I17+июль!J17</f>
        <v>0</v>
      </c>
      <c r="K17" s="8"/>
      <c r="L17" s="15">
        <f>K17+июль!L17</f>
        <v>0</v>
      </c>
    </row>
    <row r="18" spans="1:12">
      <c r="A18" s="1">
        <f t="shared" si="1"/>
        <v>16</v>
      </c>
      <c r="B18" s="38" t="str">
        <f>июль!B18</f>
        <v>Отопление(о/д нужд)</v>
      </c>
      <c r="C18" s="8">
        <f>0+0</f>
        <v>0</v>
      </c>
      <c r="D18" s="15">
        <f>C18+июль!D18</f>
        <v>0</v>
      </c>
      <c r="E18" s="9">
        <f>0+0</f>
        <v>0</v>
      </c>
      <c r="F18" s="15">
        <f>E18+июль!F18</f>
        <v>29.72</v>
      </c>
      <c r="G18" s="15">
        <f t="shared" si="0"/>
        <v>0</v>
      </c>
      <c r="H18" s="16">
        <f t="shared" si="0"/>
        <v>29.72</v>
      </c>
      <c r="I18" s="9"/>
      <c r="J18" s="16">
        <f>I18+июль!J18</f>
        <v>0</v>
      </c>
      <c r="K18" s="8"/>
      <c r="L18" s="15">
        <f>K18+июль!L18</f>
        <v>0</v>
      </c>
    </row>
    <row r="19" spans="1:12" ht="15" customHeight="1">
      <c r="A19" s="1">
        <f t="shared" si="1"/>
        <v>17</v>
      </c>
      <c r="B19" s="38" t="str">
        <f>июль!B19</f>
        <v>Электроснабжение(общед.нужды)</v>
      </c>
      <c r="C19" s="8">
        <f>47172.65+2677.51</f>
        <v>49850.16</v>
      </c>
      <c r="D19" s="15">
        <f>C19+июль!D19</f>
        <v>183278.37</v>
      </c>
      <c r="E19" s="9">
        <f>3508.83+19807.11</f>
        <v>23315.940000000002</v>
      </c>
      <c r="F19" s="15">
        <f>E19+июль!F19</f>
        <v>180533.04</v>
      </c>
      <c r="G19" s="15">
        <f t="shared" si="0"/>
        <v>-26534.22</v>
      </c>
      <c r="H19" s="16">
        <f t="shared" si="0"/>
        <v>-2745.3299999999872</v>
      </c>
      <c r="I19" s="9"/>
      <c r="J19" s="16">
        <f>I19+июль!J19</f>
        <v>0</v>
      </c>
      <c r="K19" s="8"/>
      <c r="L19" s="15">
        <f>K19+июль!L19</f>
        <v>0</v>
      </c>
    </row>
    <row r="20" spans="1:12" ht="16.5" customHeight="1">
      <c r="A20" s="1">
        <f t="shared" si="1"/>
        <v>18</v>
      </c>
      <c r="B20" s="38" t="str">
        <f>июль!B20</f>
        <v>Горячее водоснабж.(о/д нужды)</v>
      </c>
      <c r="C20" s="8">
        <f>1065.43+147.02</f>
        <v>1212.45</v>
      </c>
      <c r="D20" s="15">
        <f>C20+июль!D20</f>
        <v>6647.52</v>
      </c>
      <c r="E20" s="9">
        <f>168.98+963.08</f>
        <v>1132.06</v>
      </c>
      <c r="F20" s="15">
        <f>E20+июль!F20</f>
        <v>6125.16</v>
      </c>
      <c r="G20" s="15">
        <f t="shared" si="0"/>
        <v>-80.3900000000001</v>
      </c>
      <c r="H20" s="16">
        <f t="shared" si="0"/>
        <v>-522.36000000000058</v>
      </c>
      <c r="I20" s="9"/>
      <c r="J20" s="16">
        <f>I20+июль!J20</f>
        <v>0</v>
      </c>
      <c r="K20" s="8"/>
      <c r="L20" s="15">
        <f>K20+июль!L20</f>
        <v>0</v>
      </c>
    </row>
    <row r="21" spans="1:12" ht="18.75" customHeight="1">
      <c r="A21" s="1">
        <f t="shared" si="1"/>
        <v>19</v>
      </c>
      <c r="B21" s="38" t="str">
        <f>июль!B21</f>
        <v>Хлодное водоснаб. (о/д нужды)</v>
      </c>
      <c r="C21" s="8">
        <f>429.8+59.92</f>
        <v>489.72</v>
      </c>
      <c r="D21" s="15">
        <f>C21+июль!D21</f>
        <v>2591.0100000000002</v>
      </c>
      <c r="E21" s="9">
        <f>67.23+389.56</f>
        <v>456.79</v>
      </c>
      <c r="F21" s="15">
        <f>E21+июль!F21</f>
        <v>3163.89</v>
      </c>
      <c r="G21" s="15">
        <f t="shared" si="0"/>
        <v>-32.930000000000007</v>
      </c>
      <c r="H21" s="16">
        <f t="shared" si="0"/>
        <v>572.87999999999965</v>
      </c>
      <c r="I21" s="9"/>
      <c r="J21" s="16">
        <f>I21+июль!J21</f>
        <v>0</v>
      </c>
      <c r="K21" s="8"/>
      <c r="L21" s="15">
        <f>K21+июль!L21</f>
        <v>0</v>
      </c>
    </row>
    <row r="22" spans="1:12">
      <c r="A22" s="1">
        <f t="shared" si="1"/>
        <v>20</v>
      </c>
      <c r="B22" s="38">
        <f>июль!B22</f>
        <v>0</v>
      </c>
      <c r="C22" s="8">
        <f>0+0</f>
        <v>0</v>
      </c>
      <c r="D22" s="15">
        <f>C22+июль!D22</f>
        <v>0</v>
      </c>
      <c r="E22" s="9">
        <f>0+0</f>
        <v>0</v>
      </c>
      <c r="F22" s="15">
        <f>E22+июль!F22</f>
        <v>0</v>
      </c>
      <c r="G22" s="15">
        <f t="shared" si="0"/>
        <v>0</v>
      </c>
      <c r="H22" s="16">
        <f t="shared" si="0"/>
        <v>0</v>
      </c>
      <c r="I22" s="9"/>
      <c r="J22" s="16">
        <f>I22+июль!J22</f>
        <v>0</v>
      </c>
      <c r="K22" s="8"/>
      <c r="L22" s="15">
        <f>K22+июль!L22</f>
        <v>0</v>
      </c>
    </row>
    <row r="23" spans="1:12">
      <c r="A23" s="22"/>
      <c r="B23" s="21" t="s">
        <v>12</v>
      </c>
      <c r="C23" s="61">
        <f t="shared" ref="C23:L23" si="2">SUM(C3:C22)</f>
        <v>314843.08</v>
      </c>
      <c r="D23" s="15">
        <f t="shared" si="2"/>
        <v>2444062.0700000003</v>
      </c>
      <c r="E23" s="62">
        <f t="shared" si="2"/>
        <v>306983.76</v>
      </c>
      <c r="F23" s="15">
        <f t="shared" si="2"/>
        <v>2793548.8000000003</v>
      </c>
      <c r="G23" s="15">
        <f t="shared" si="2"/>
        <v>-7859.319999999997</v>
      </c>
      <c r="H23" s="16">
        <f t="shared" si="2"/>
        <v>349486.73000000021</v>
      </c>
      <c r="I23" s="16">
        <f t="shared" si="2"/>
        <v>0</v>
      </c>
      <c r="J23" s="16">
        <f t="shared" si="2"/>
        <v>0</v>
      </c>
      <c r="K23" s="15">
        <f t="shared" si="2"/>
        <v>0</v>
      </c>
      <c r="L23" s="15">
        <f t="shared" si="2"/>
        <v>0</v>
      </c>
    </row>
    <row r="24" spans="1:12">
      <c r="B24" s="1" t="s">
        <v>35</v>
      </c>
      <c r="C24" s="9">
        <f>C9+C10+C11+C15+C17+C21</f>
        <v>70038.459999999992</v>
      </c>
      <c r="D24" s="9">
        <f t="shared" ref="D24:J24" si="3">D9+D10+D11+D15+D17+D21</f>
        <v>448022.22000000003</v>
      </c>
      <c r="E24" s="9">
        <f t="shared" si="3"/>
        <v>72761.399999999994</v>
      </c>
      <c r="F24" s="9">
        <f t="shared" si="3"/>
        <v>485997.20000000007</v>
      </c>
      <c r="G24" s="9">
        <f t="shared" si="3"/>
        <v>2722.9400000000028</v>
      </c>
      <c r="H24" s="9">
        <f t="shared" si="3"/>
        <v>37974.979999999989</v>
      </c>
      <c r="I24" s="9">
        <f t="shared" si="3"/>
        <v>0</v>
      </c>
      <c r="J24" s="9">
        <f t="shared" si="3"/>
        <v>0</v>
      </c>
    </row>
    <row r="25" spans="1:12">
      <c r="B25" s="1" t="s">
        <v>38</v>
      </c>
      <c r="C25" s="9">
        <f>C8+C19</f>
        <v>91135.860000000015</v>
      </c>
      <c r="D25" s="9">
        <f t="shared" ref="D25:J25" si="4">D8+D19</f>
        <v>455242.14999999997</v>
      </c>
      <c r="E25" s="9">
        <f t="shared" si="4"/>
        <v>66481.41</v>
      </c>
      <c r="F25" s="9">
        <f t="shared" si="4"/>
        <v>483979.45999999996</v>
      </c>
      <c r="G25" s="9">
        <f t="shared" si="4"/>
        <v>-24654.450000000012</v>
      </c>
      <c r="H25" s="9">
        <f t="shared" si="4"/>
        <v>28737.310000000027</v>
      </c>
      <c r="I25" s="9">
        <f t="shared" si="4"/>
        <v>0</v>
      </c>
      <c r="J25" s="9">
        <f t="shared" si="4"/>
        <v>0</v>
      </c>
    </row>
    <row r="26" spans="1:12">
      <c r="B26" s="1" t="s">
        <v>39</v>
      </c>
      <c r="C26" s="9">
        <f>C4+C5+C18+C20</f>
        <v>66762.87999999999</v>
      </c>
      <c r="D26" s="9">
        <f t="shared" ref="D26:J26" si="5">D4+D5+D18+D20</f>
        <v>968537.78</v>
      </c>
      <c r="E26" s="9">
        <f t="shared" si="5"/>
        <v>84719.99</v>
      </c>
      <c r="F26" s="9">
        <f t="shared" si="5"/>
        <v>1237120</v>
      </c>
      <c r="G26" s="9">
        <f t="shared" si="5"/>
        <v>17957.110000000011</v>
      </c>
      <c r="H26" s="9">
        <f t="shared" si="5"/>
        <v>268582.22000000015</v>
      </c>
      <c r="I26" s="9">
        <f t="shared" si="5"/>
        <v>0</v>
      </c>
      <c r="J26" s="9">
        <f t="shared" si="5"/>
        <v>0</v>
      </c>
    </row>
    <row r="31" spans="1:12">
      <c r="G31">
        <v>279044.73</v>
      </c>
      <c r="H31">
        <v>256609.69</v>
      </c>
    </row>
    <row r="32" spans="1:12">
      <c r="G32">
        <v>35798.35</v>
      </c>
      <c r="H32">
        <v>50374.07</v>
      </c>
    </row>
    <row r="33" spans="7:8">
      <c r="G33" s="11">
        <f>G31+G32</f>
        <v>314843.07999999996</v>
      </c>
      <c r="H33" s="11">
        <f>H31+H32</f>
        <v>306983.76</v>
      </c>
    </row>
  </sheetData>
  <phoneticPr fontId="0" type="noConversion"/>
  <pageMargins left="0.75" right="0.75" top="1" bottom="1" header="0.5" footer="0.5"/>
  <pageSetup paperSize="9" scale="8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L41"/>
  <sheetViews>
    <sheetView topLeftCell="B1" workbookViewId="0">
      <selection activeCell="E3" sqref="E3:E22"/>
    </sheetView>
  </sheetViews>
  <sheetFormatPr defaultRowHeight="12.75"/>
  <cols>
    <col min="1" max="1" width="4.140625" customWidth="1"/>
    <col min="2" max="2" width="34.42578125" customWidth="1"/>
    <col min="3" max="3" width="11.5703125" customWidth="1"/>
    <col min="4" max="4" width="12.140625" customWidth="1"/>
    <col min="5" max="5" width="13.28515625" customWidth="1"/>
    <col min="6" max="6" width="13" customWidth="1"/>
    <col min="7" max="7" width="12" customWidth="1"/>
    <col min="8" max="8" width="10.85546875" customWidth="1"/>
    <col min="9" max="9" width="10.5703125" customWidth="1"/>
    <col min="10" max="10" width="12.85546875" customWidth="1"/>
    <col min="11" max="11" width="10.140625" bestFit="1" customWidth="1"/>
    <col min="12" max="12" width="11.28515625" customWidth="1"/>
  </cols>
  <sheetData>
    <row r="1" spans="1:12">
      <c r="B1" s="11" t="s">
        <v>15</v>
      </c>
    </row>
    <row r="2" spans="1:12" s="30" customFormat="1" ht="38.25">
      <c r="A2" s="17" t="s">
        <v>0</v>
      </c>
      <c r="B2" s="25" t="s">
        <v>1</v>
      </c>
      <c r="C2" s="26" t="s">
        <v>2</v>
      </c>
      <c r="D2" s="27" t="s">
        <v>3</v>
      </c>
      <c r="E2" s="28" t="s">
        <v>4</v>
      </c>
      <c r="F2" s="27" t="s">
        <v>5</v>
      </c>
      <c r="G2" s="27" t="s">
        <v>6</v>
      </c>
      <c r="H2" s="36" t="s">
        <v>7</v>
      </c>
      <c r="I2" s="28" t="s">
        <v>8</v>
      </c>
      <c r="J2" s="29" t="s">
        <v>9</v>
      </c>
      <c r="K2" s="25" t="s">
        <v>10</v>
      </c>
      <c r="L2" s="27" t="s">
        <v>11</v>
      </c>
    </row>
    <row r="3" spans="1:12">
      <c r="A3" s="1">
        <v>1</v>
      </c>
      <c r="B3" s="38" t="str">
        <f>август!B3</f>
        <v>Содержание общ.имущ.дома</v>
      </c>
      <c r="C3" s="8">
        <f>5198.28+38163.56</f>
        <v>43361.84</v>
      </c>
      <c r="D3" s="15">
        <f>C3+август!D3</f>
        <v>330809.17999999993</v>
      </c>
      <c r="E3" s="8">
        <f>31198.24+2583.75</f>
        <v>33781.990000000005</v>
      </c>
      <c r="F3" s="15">
        <f>E3+август!F3</f>
        <v>328096.11</v>
      </c>
      <c r="G3" s="15">
        <f>E3-C3</f>
        <v>-9579.8499999999913</v>
      </c>
      <c r="H3" s="24">
        <f>F3-D3</f>
        <v>-2713.0699999999488</v>
      </c>
      <c r="I3" s="9"/>
      <c r="J3" s="16">
        <f>I3+август!J3</f>
        <v>0</v>
      </c>
      <c r="K3" s="8"/>
      <c r="L3" s="15">
        <f>K3+август!L3</f>
        <v>0</v>
      </c>
    </row>
    <row r="4" spans="1:12">
      <c r="A4" s="1">
        <f>A3+1</f>
        <v>2</v>
      </c>
      <c r="B4" s="38" t="str">
        <f>август!B4</f>
        <v>Отопление</v>
      </c>
      <c r="C4" s="8">
        <f>0+0</f>
        <v>0</v>
      </c>
      <c r="D4" s="15">
        <f>C4+август!D4</f>
        <v>521171.76</v>
      </c>
      <c r="E4" s="8">
        <f>9691.96+0</f>
        <v>9691.9599999999991</v>
      </c>
      <c r="F4" s="15">
        <f>E4+август!F4</f>
        <v>764316.51000000013</v>
      </c>
      <c r="G4" s="15">
        <f t="shared" ref="G4:H22" si="0">E4-C4</f>
        <v>9691.9599999999991</v>
      </c>
      <c r="H4" s="24">
        <f t="shared" si="0"/>
        <v>243144.75000000012</v>
      </c>
      <c r="I4" s="9"/>
      <c r="J4" s="16">
        <f>I4+август!J4</f>
        <v>0</v>
      </c>
      <c r="K4" s="8"/>
      <c r="L4" s="15">
        <f>K4+август!L4</f>
        <v>0</v>
      </c>
    </row>
    <row r="5" spans="1:12">
      <c r="A5" s="1">
        <f t="shared" ref="A5:A22" si="1">A4+1</f>
        <v>3</v>
      </c>
      <c r="B5" s="38" t="str">
        <f>август!B5</f>
        <v>Горячее водоснабжение</v>
      </c>
      <c r="C5" s="8">
        <f>49555.4+8412.15</f>
        <v>57967.55</v>
      </c>
      <c r="D5" s="15">
        <f>C5+август!D5</f>
        <v>498686.05</v>
      </c>
      <c r="E5" s="8">
        <f>48422.58+3879.71</f>
        <v>52302.29</v>
      </c>
      <c r="F5" s="15">
        <f>E5+август!F5</f>
        <v>528642.86</v>
      </c>
      <c r="G5" s="15">
        <f t="shared" si="0"/>
        <v>-5665.260000000002</v>
      </c>
      <c r="H5" s="24">
        <f t="shared" si="0"/>
        <v>29956.809999999998</v>
      </c>
      <c r="I5" s="9"/>
      <c r="J5" s="16">
        <f>I5+август!J5</f>
        <v>0</v>
      </c>
      <c r="K5" s="8"/>
      <c r="L5" s="15">
        <f>K5+август!L5</f>
        <v>0</v>
      </c>
    </row>
    <row r="6" spans="1:12">
      <c r="A6" s="1">
        <f t="shared" si="1"/>
        <v>4</v>
      </c>
      <c r="B6" s="38" t="str">
        <f>август!B6</f>
        <v>Газ</v>
      </c>
      <c r="C6" s="8">
        <f>0+0</f>
        <v>0</v>
      </c>
      <c r="D6" s="15">
        <f>C6+август!D6</f>
        <v>-87.84</v>
      </c>
      <c r="E6" s="8">
        <f>0+0</f>
        <v>0</v>
      </c>
      <c r="F6" s="15">
        <f>E6+август!F6</f>
        <v>0</v>
      </c>
      <c r="G6" s="15">
        <f t="shared" si="0"/>
        <v>0</v>
      </c>
      <c r="H6" s="24">
        <f t="shared" si="0"/>
        <v>87.84</v>
      </c>
      <c r="I6" s="9"/>
      <c r="J6" s="16">
        <f>I6+август!J6</f>
        <v>0</v>
      </c>
      <c r="K6" s="8"/>
      <c r="L6" s="15">
        <f>K6+август!L6</f>
        <v>0</v>
      </c>
    </row>
    <row r="7" spans="1:12" ht="15.75" customHeight="1">
      <c r="A7" s="1">
        <f t="shared" si="1"/>
        <v>5</v>
      </c>
      <c r="B7" s="38" t="str">
        <f>август!B7</f>
        <v>Уборка и сан.очистка зем.участка</v>
      </c>
      <c r="C7" s="8">
        <f>5868.86+799.39</f>
        <v>6668.25</v>
      </c>
      <c r="D7" s="15">
        <f>C7+август!D7</f>
        <v>47538.83</v>
      </c>
      <c r="E7" s="8">
        <f>4758.39+397.33</f>
        <v>5155.72</v>
      </c>
      <c r="F7" s="15">
        <f>E7+август!F7</f>
        <v>46670.570000000007</v>
      </c>
      <c r="G7" s="15">
        <f t="shared" si="0"/>
        <v>-1512.5299999999997</v>
      </c>
      <c r="H7" s="24">
        <f t="shared" si="0"/>
        <v>-868.25999999999476</v>
      </c>
      <c r="I7" s="9"/>
      <c r="J7" s="16">
        <f>I7+август!J7</f>
        <v>0</v>
      </c>
      <c r="K7" s="8"/>
      <c r="L7" s="15">
        <f>K7+август!L7</f>
        <v>0</v>
      </c>
    </row>
    <row r="8" spans="1:12" ht="17.25" customHeight="1">
      <c r="A8" s="1">
        <f t="shared" si="1"/>
        <v>6</v>
      </c>
      <c r="B8" s="38" t="str">
        <f>август!B8</f>
        <v>Электроснабжение(инд.потребление)</v>
      </c>
      <c r="C8" s="8">
        <f>31683.36+5162.4</f>
        <v>36845.760000000002</v>
      </c>
      <c r="D8" s="15">
        <f>C8+август!D8</f>
        <v>308809.53999999998</v>
      </c>
      <c r="E8" s="8">
        <f>30460.1+2222.28</f>
        <v>32682.379999999997</v>
      </c>
      <c r="F8" s="15">
        <f>E8+август!F8</f>
        <v>336128.8</v>
      </c>
      <c r="G8" s="15">
        <f t="shared" si="0"/>
        <v>-4163.3800000000047</v>
      </c>
      <c r="H8" s="24">
        <f t="shared" si="0"/>
        <v>27319.260000000009</v>
      </c>
      <c r="I8" s="9"/>
      <c r="J8" s="16">
        <f>I8+август!J8</f>
        <v>0</v>
      </c>
      <c r="K8" s="8"/>
      <c r="L8" s="15">
        <f>K8+август!L8</f>
        <v>0</v>
      </c>
    </row>
    <row r="9" spans="1:12">
      <c r="A9" s="1">
        <f t="shared" si="1"/>
        <v>7</v>
      </c>
      <c r="B9" s="38" t="str">
        <f>август!B9</f>
        <v>Холодная вода</v>
      </c>
      <c r="C9" s="8">
        <f>19531.28+3291.6</f>
        <v>22822.879999999997</v>
      </c>
      <c r="D9" s="15">
        <f>C9+август!D9</f>
        <v>187822.5</v>
      </c>
      <c r="E9" s="8">
        <f>18838.72+1518.09</f>
        <v>20356.810000000001</v>
      </c>
      <c r="F9" s="15">
        <f>E9+август!F9</f>
        <v>198284.87</v>
      </c>
      <c r="G9" s="15">
        <f t="shared" si="0"/>
        <v>-2466.0699999999961</v>
      </c>
      <c r="H9" s="24">
        <f t="shared" si="0"/>
        <v>10462.369999999995</v>
      </c>
      <c r="I9" s="9"/>
      <c r="J9" s="16">
        <f>I9+август!J9</f>
        <v>0</v>
      </c>
      <c r="K9" s="8"/>
      <c r="L9" s="15">
        <f>K9+август!L9</f>
        <v>0</v>
      </c>
    </row>
    <row r="10" spans="1:12">
      <c r="A10" s="1">
        <f t="shared" si="1"/>
        <v>8</v>
      </c>
      <c r="B10" s="38" t="str">
        <f>август!B10</f>
        <v>Канализир.х.воды</v>
      </c>
      <c r="C10" s="8">
        <f t="shared" ref="C10:E11" si="2">0+0</f>
        <v>0</v>
      </c>
      <c r="D10" s="15">
        <f>C10+август!D10</f>
        <v>0</v>
      </c>
      <c r="E10" s="8">
        <f t="shared" si="2"/>
        <v>0</v>
      </c>
      <c r="F10" s="15">
        <f>E10+август!F10</f>
        <v>114.22</v>
      </c>
      <c r="G10" s="15">
        <f t="shared" si="0"/>
        <v>0</v>
      </c>
      <c r="H10" s="24">
        <f t="shared" si="0"/>
        <v>114.22</v>
      </c>
      <c r="I10" s="9"/>
      <c r="J10" s="16">
        <f>I10+август!J10</f>
        <v>0</v>
      </c>
      <c r="K10" s="8"/>
      <c r="L10" s="15">
        <f>K10+август!L10</f>
        <v>0</v>
      </c>
    </row>
    <row r="11" spans="1:12">
      <c r="A11" s="1">
        <f t="shared" si="1"/>
        <v>9</v>
      </c>
      <c r="B11" s="38" t="str">
        <f>август!B11</f>
        <v>Канализир.г.воды</v>
      </c>
      <c r="C11" s="8">
        <f t="shared" si="2"/>
        <v>0</v>
      </c>
      <c r="D11" s="15">
        <f>C11+август!D11</f>
        <v>0</v>
      </c>
      <c r="E11" s="8">
        <f t="shared" si="2"/>
        <v>0</v>
      </c>
      <c r="F11" s="15">
        <f>E11+август!F11</f>
        <v>76.009999999999991</v>
      </c>
      <c r="G11" s="15">
        <f t="shared" si="0"/>
        <v>0</v>
      </c>
      <c r="H11" s="24">
        <f t="shared" si="0"/>
        <v>76.009999999999991</v>
      </c>
      <c r="I11" s="9"/>
      <c r="J11" s="16">
        <f>I11+август!J11</f>
        <v>0</v>
      </c>
      <c r="K11" s="8"/>
      <c r="L11" s="15">
        <f>K11+август!L11</f>
        <v>0</v>
      </c>
    </row>
    <row r="12" spans="1:12">
      <c r="A12" s="1">
        <f t="shared" si="1"/>
        <v>10</v>
      </c>
      <c r="B12" s="38" t="str">
        <f>август!B12</f>
        <v>Тек.рем.общ.имущ.дома</v>
      </c>
      <c r="C12" s="8">
        <f>19915.66+2712.72</f>
        <v>22628.38</v>
      </c>
      <c r="D12" s="15">
        <f>C12+август!D12</f>
        <v>173675.07</v>
      </c>
      <c r="E12" s="8">
        <f>16308.17+1348.34</f>
        <v>17656.509999999998</v>
      </c>
      <c r="F12" s="15">
        <f>E12+август!F12</f>
        <v>173156.14</v>
      </c>
      <c r="G12" s="15">
        <f t="shared" si="0"/>
        <v>-4971.8700000000026</v>
      </c>
      <c r="H12" s="24">
        <f t="shared" si="0"/>
        <v>-518.92999999999302</v>
      </c>
      <c r="I12" s="9"/>
      <c r="J12" s="16">
        <f>I12+август!J12</f>
        <v>0</v>
      </c>
      <c r="K12" s="8"/>
      <c r="L12" s="15">
        <f>K12+август!L12</f>
        <v>0</v>
      </c>
    </row>
    <row r="13" spans="1:12">
      <c r="A13" s="1">
        <f t="shared" si="1"/>
        <v>11</v>
      </c>
      <c r="B13" s="38" t="str">
        <f>август!B13</f>
        <v>Сод.и тек.рем.в/дом.газос.</v>
      </c>
      <c r="C13" s="8">
        <f>2180.78+297.04</f>
        <v>2477.8200000000002</v>
      </c>
      <c r="D13" s="15">
        <f>C13+август!D13</f>
        <v>19208.34</v>
      </c>
      <c r="E13" s="8">
        <f>1788.23+147.65</f>
        <v>1935.88</v>
      </c>
      <c r="F13" s="15">
        <f>E13+август!F13</f>
        <v>19186.07</v>
      </c>
      <c r="G13" s="15">
        <f t="shared" si="0"/>
        <v>-541.94000000000005</v>
      </c>
      <c r="H13" s="24">
        <f t="shared" si="0"/>
        <v>-22.270000000000437</v>
      </c>
      <c r="I13" s="9"/>
      <c r="J13" s="16">
        <f>I13+август!J13</f>
        <v>0</v>
      </c>
      <c r="K13" s="8"/>
      <c r="L13" s="15">
        <f>K13+август!L13</f>
        <v>0</v>
      </c>
    </row>
    <row r="14" spans="1:12">
      <c r="A14" s="1">
        <f t="shared" si="1"/>
        <v>12</v>
      </c>
      <c r="B14" s="38" t="str">
        <f>август!B14</f>
        <v>Управление многокварт.</v>
      </c>
      <c r="C14" s="8">
        <f>8242+1122.66</f>
        <v>9364.66</v>
      </c>
      <c r="D14" s="15">
        <f>C14+август!D14</f>
        <v>69576.61</v>
      </c>
      <c r="E14" s="8">
        <f>6715.13+558.01</f>
        <v>7273.14</v>
      </c>
      <c r="F14" s="15">
        <f>E14+август!F14</f>
        <v>68618.44</v>
      </c>
      <c r="G14" s="15">
        <f t="shared" si="0"/>
        <v>-2091.5199999999995</v>
      </c>
      <c r="H14" s="24">
        <f t="shared" si="0"/>
        <v>-958.16999999999825</v>
      </c>
      <c r="I14" s="9"/>
      <c r="J14" s="16">
        <f>I14+август!J14</f>
        <v>0</v>
      </c>
      <c r="K14" s="8"/>
      <c r="L14" s="15">
        <f>K14+август!L14</f>
        <v>0</v>
      </c>
    </row>
    <row r="15" spans="1:12">
      <c r="A15" s="1">
        <f t="shared" si="1"/>
        <v>13</v>
      </c>
      <c r="B15" s="38" t="str">
        <f>август!B15</f>
        <v>Водоотведение(кв)</v>
      </c>
      <c r="C15" s="8">
        <f>33402.84+5629.35</f>
        <v>39032.189999999995</v>
      </c>
      <c r="D15" s="15">
        <f>C15+август!D15</f>
        <v>319463.78000000003</v>
      </c>
      <c r="E15" s="8">
        <f>32233.76+2596.27</f>
        <v>34830.03</v>
      </c>
      <c r="F15" s="15">
        <f>E15+август!F15</f>
        <v>339545.05000000005</v>
      </c>
      <c r="G15" s="15">
        <f t="shared" si="0"/>
        <v>-4202.1599999999962</v>
      </c>
      <c r="H15" s="24">
        <f t="shared" si="0"/>
        <v>20081.270000000019</v>
      </c>
      <c r="I15" s="9"/>
      <c r="J15" s="16">
        <f>I15+август!J15</f>
        <v>0</v>
      </c>
      <c r="K15" s="8"/>
      <c r="L15" s="15">
        <f>K15+август!L15</f>
        <v>0</v>
      </c>
    </row>
    <row r="16" spans="1:12">
      <c r="A16" s="1">
        <f t="shared" si="1"/>
        <v>14</v>
      </c>
      <c r="B16" s="38" t="str">
        <f>август!B16</f>
        <v>Эксплуатация общ.ПУ</v>
      </c>
      <c r="C16" s="8">
        <f>2116.62+288.31</f>
        <v>2404.9299999999998</v>
      </c>
      <c r="D16" s="15">
        <f>C16+август!D16</f>
        <v>18445.61</v>
      </c>
      <c r="E16" s="8">
        <f>1730.43+143.31</f>
        <v>1873.74</v>
      </c>
      <c r="F16" s="15">
        <f>E16+август!F16</f>
        <v>18401.79</v>
      </c>
      <c r="G16" s="15">
        <f t="shared" si="0"/>
        <v>-531.18999999999983</v>
      </c>
      <c r="H16" s="24">
        <f t="shared" si="0"/>
        <v>-43.819999999999709</v>
      </c>
      <c r="I16" s="9"/>
      <c r="J16" s="16">
        <f>I16+август!J16</f>
        <v>0</v>
      </c>
      <c r="K16" s="8"/>
      <c r="L16" s="15">
        <f>K16+август!L16</f>
        <v>0</v>
      </c>
    </row>
    <row r="17" spans="1:12">
      <c r="A17" s="1">
        <f t="shared" si="1"/>
        <v>15</v>
      </c>
      <c r="B17" s="38" t="str">
        <f>август!B17</f>
        <v>Водоотведение(о/д нужд)</v>
      </c>
      <c r="C17" s="8">
        <f t="shared" ref="C17:E18" si="3">0+0</f>
        <v>0</v>
      </c>
      <c r="D17" s="15">
        <f>C17+август!D17</f>
        <v>0</v>
      </c>
      <c r="E17" s="8">
        <f t="shared" si="3"/>
        <v>0</v>
      </c>
      <c r="F17" s="15">
        <f>E17+август!F17</f>
        <v>0</v>
      </c>
      <c r="G17" s="15">
        <f t="shared" si="0"/>
        <v>0</v>
      </c>
      <c r="H17" s="24">
        <f t="shared" si="0"/>
        <v>0</v>
      </c>
      <c r="I17" s="9"/>
      <c r="J17" s="16">
        <f>I17+август!J17</f>
        <v>0</v>
      </c>
      <c r="K17" s="8"/>
      <c r="L17" s="15">
        <f>K17+август!L17</f>
        <v>0</v>
      </c>
    </row>
    <row r="18" spans="1:12">
      <c r="A18" s="1">
        <f t="shared" si="1"/>
        <v>16</v>
      </c>
      <c r="B18" s="38" t="str">
        <f>август!B18</f>
        <v>Отопление(о/д нужд)</v>
      </c>
      <c r="C18" s="8">
        <f t="shared" si="3"/>
        <v>0</v>
      </c>
      <c r="D18" s="15">
        <f>C18+август!D18</f>
        <v>0</v>
      </c>
      <c r="E18" s="8">
        <f t="shared" si="3"/>
        <v>0</v>
      </c>
      <c r="F18" s="15">
        <f>E18+август!F18</f>
        <v>29.72</v>
      </c>
      <c r="G18" s="15">
        <f t="shared" si="0"/>
        <v>0</v>
      </c>
      <c r="H18" s="24">
        <f t="shared" si="0"/>
        <v>29.72</v>
      </c>
      <c r="I18" s="9"/>
      <c r="J18" s="16">
        <f>I18+август!J18</f>
        <v>0</v>
      </c>
      <c r="K18" s="8"/>
      <c r="L18" s="15">
        <f>K18+август!L18</f>
        <v>0</v>
      </c>
    </row>
    <row r="19" spans="1:12" ht="16.5" customHeight="1">
      <c r="A19" s="1">
        <f t="shared" si="1"/>
        <v>17</v>
      </c>
      <c r="B19" s="38" t="str">
        <f>август!B19</f>
        <v>Электроснабжение(общед.нужды)</v>
      </c>
      <c r="C19" s="8">
        <f>17735.33+5869.69</f>
        <v>23605.02</v>
      </c>
      <c r="D19" s="15">
        <f>C19+август!D19</f>
        <v>206883.38999999998</v>
      </c>
      <c r="E19" s="8">
        <f>24081.65+1355.84</f>
        <v>25437.49</v>
      </c>
      <c r="F19" s="15">
        <f>E19+август!F19</f>
        <v>205970.53</v>
      </c>
      <c r="G19" s="15">
        <f t="shared" si="0"/>
        <v>1832.4700000000012</v>
      </c>
      <c r="H19" s="24">
        <f t="shared" si="0"/>
        <v>-912.85999999998603</v>
      </c>
      <c r="I19" s="9"/>
      <c r="J19" s="16">
        <f>I19+август!J19</f>
        <v>0</v>
      </c>
      <c r="K19" s="8"/>
      <c r="L19" s="15">
        <f>K19+август!L19</f>
        <v>0</v>
      </c>
    </row>
    <row r="20" spans="1:12">
      <c r="A20" s="1">
        <f t="shared" si="1"/>
        <v>18</v>
      </c>
      <c r="B20" s="38" t="str">
        <f>август!B20</f>
        <v>Горячее водоснабж.(о/д нужды)</v>
      </c>
      <c r="C20" s="8">
        <f>1065.43+147.02</f>
        <v>1212.45</v>
      </c>
      <c r="D20" s="15">
        <f>C20+август!D20</f>
        <v>7859.97</v>
      </c>
      <c r="E20" s="8">
        <f>842.13+71.84</f>
        <v>913.97</v>
      </c>
      <c r="F20" s="15">
        <f>E20+август!F20</f>
        <v>7039.13</v>
      </c>
      <c r="G20" s="15">
        <f t="shared" si="0"/>
        <v>-298.48</v>
      </c>
      <c r="H20" s="24">
        <f t="shared" si="0"/>
        <v>-820.84000000000015</v>
      </c>
      <c r="I20" s="9"/>
      <c r="J20" s="16">
        <f>I20+август!J20</f>
        <v>0</v>
      </c>
      <c r="K20" s="8"/>
      <c r="L20" s="15">
        <f>K20+август!L20</f>
        <v>0</v>
      </c>
    </row>
    <row r="21" spans="1:12" ht="17.25" customHeight="1">
      <c r="A21" s="1">
        <f t="shared" si="1"/>
        <v>19</v>
      </c>
      <c r="B21" s="38" t="str">
        <f>август!B21</f>
        <v>Хлодное водоснаб. (о/д нужды)</v>
      </c>
      <c r="C21" s="8">
        <f>429.8+59.92</f>
        <v>489.72</v>
      </c>
      <c r="D21" s="15">
        <f>C21+август!D21</f>
        <v>3080.7300000000005</v>
      </c>
      <c r="E21" s="8">
        <f>361.78+29.81</f>
        <v>391.59</v>
      </c>
      <c r="F21" s="15">
        <f>E21+август!F21</f>
        <v>3555.48</v>
      </c>
      <c r="G21" s="15">
        <f t="shared" si="0"/>
        <v>-98.130000000000052</v>
      </c>
      <c r="H21" s="24">
        <f t="shared" si="0"/>
        <v>474.74999999999955</v>
      </c>
      <c r="I21" s="9"/>
      <c r="J21" s="16">
        <f>I21+август!J21</f>
        <v>0</v>
      </c>
      <c r="K21" s="8"/>
      <c r="L21" s="15">
        <f>K21+август!L21</f>
        <v>0</v>
      </c>
    </row>
    <row r="22" spans="1:12">
      <c r="A22" s="1">
        <f t="shared" si="1"/>
        <v>20</v>
      </c>
      <c r="B22" s="38">
        <f>август!B22</f>
        <v>0</v>
      </c>
      <c r="C22" s="8">
        <f>0+0</f>
        <v>0</v>
      </c>
      <c r="D22" s="15">
        <f>C22+август!D22</f>
        <v>0</v>
      </c>
      <c r="E22" s="8">
        <f>0+0</f>
        <v>0</v>
      </c>
      <c r="F22" s="15">
        <f>E22+август!F22</f>
        <v>0</v>
      </c>
      <c r="G22" s="15">
        <f t="shared" si="0"/>
        <v>0</v>
      </c>
      <c r="H22" s="24">
        <f t="shared" si="0"/>
        <v>0</v>
      </c>
      <c r="I22" s="9"/>
      <c r="J22" s="16">
        <f>I22+август!J22</f>
        <v>0</v>
      </c>
      <c r="K22" s="8"/>
      <c r="L22" s="15">
        <f>K22+август!L22</f>
        <v>0</v>
      </c>
    </row>
    <row r="23" spans="1:12">
      <c r="A23" s="22"/>
      <c r="B23" s="21" t="s">
        <v>12</v>
      </c>
      <c r="C23" s="15">
        <f t="shared" ref="C23:L23" si="4">SUM(C3:C22)</f>
        <v>268881.45</v>
      </c>
      <c r="D23" s="15">
        <f t="shared" si="4"/>
        <v>2712943.5200000005</v>
      </c>
      <c r="E23" s="16">
        <f>SUM(E3:E22)</f>
        <v>244283.5</v>
      </c>
      <c r="F23" s="15">
        <f t="shared" si="4"/>
        <v>3037832.3000000003</v>
      </c>
      <c r="G23" s="15">
        <f t="shared" si="4"/>
        <v>-24597.94999999999</v>
      </c>
      <c r="H23" s="24">
        <f t="shared" si="4"/>
        <v>324888.78000000014</v>
      </c>
      <c r="I23" s="16">
        <f t="shared" si="4"/>
        <v>0</v>
      </c>
      <c r="J23" s="16">
        <f t="shared" si="4"/>
        <v>0</v>
      </c>
      <c r="K23" s="15">
        <f t="shared" si="4"/>
        <v>0</v>
      </c>
      <c r="L23" s="15">
        <f t="shared" si="4"/>
        <v>0</v>
      </c>
    </row>
    <row r="24" spans="1:12">
      <c r="B24" s="1" t="s">
        <v>35</v>
      </c>
      <c r="C24" s="9">
        <f>C9+C10+C11+C15+C17+C21</f>
        <v>62344.789999999994</v>
      </c>
      <c r="D24" s="9">
        <f t="shared" ref="D24:J24" si="5">D9+D10+D11+D15+D17+D21</f>
        <v>510367.01</v>
      </c>
      <c r="E24" s="9">
        <f t="shared" si="5"/>
        <v>55578.429999999993</v>
      </c>
      <c r="F24" s="9">
        <f t="shared" si="5"/>
        <v>541575.63</v>
      </c>
      <c r="G24" s="9">
        <f t="shared" si="5"/>
        <v>-6766.3599999999924</v>
      </c>
      <c r="H24" s="9">
        <f t="shared" si="5"/>
        <v>31208.620000000014</v>
      </c>
      <c r="I24" s="9">
        <f t="shared" si="5"/>
        <v>0</v>
      </c>
      <c r="J24" s="9">
        <f t="shared" si="5"/>
        <v>0</v>
      </c>
    </row>
    <row r="25" spans="1:12">
      <c r="B25" s="1" t="s">
        <v>38</v>
      </c>
      <c r="C25" s="9">
        <f>C8+C19</f>
        <v>60450.78</v>
      </c>
      <c r="D25" s="9">
        <f t="shared" ref="D25:J25" si="6">D8+D19</f>
        <v>515692.92999999993</v>
      </c>
      <c r="E25" s="9">
        <f t="shared" si="6"/>
        <v>58119.869999999995</v>
      </c>
      <c r="F25" s="9">
        <f t="shared" si="6"/>
        <v>542099.32999999996</v>
      </c>
      <c r="G25" s="9">
        <f t="shared" si="6"/>
        <v>-2330.9100000000035</v>
      </c>
      <c r="H25" s="9">
        <f t="shared" si="6"/>
        <v>26406.400000000023</v>
      </c>
      <c r="I25" s="9">
        <f t="shared" si="6"/>
        <v>0</v>
      </c>
      <c r="J25" s="9">
        <f t="shared" si="6"/>
        <v>0</v>
      </c>
    </row>
    <row r="26" spans="1:12">
      <c r="B26" s="1" t="s">
        <v>39</v>
      </c>
      <c r="C26" s="9">
        <f>C4+C5+C18+C20</f>
        <v>59180</v>
      </c>
      <c r="D26" s="9">
        <f t="shared" ref="D26:J26" si="7">D4+D5+D18+D20</f>
        <v>1027717.78</v>
      </c>
      <c r="E26" s="9">
        <f t="shared" si="7"/>
        <v>62908.22</v>
      </c>
      <c r="F26" s="9">
        <f t="shared" si="7"/>
        <v>1300028.22</v>
      </c>
      <c r="G26" s="9">
        <f t="shared" si="7"/>
        <v>3728.2199999999971</v>
      </c>
      <c r="H26" s="9">
        <f t="shared" si="7"/>
        <v>272310.44000000006</v>
      </c>
      <c r="I26" s="9">
        <f t="shared" si="7"/>
        <v>0</v>
      </c>
      <c r="J26" s="9">
        <f t="shared" si="7"/>
        <v>0</v>
      </c>
    </row>
    <row r="29" spans="1:12">
      <c r="B29" s="55" t="s">
        <v>34</v>
      </c>
      <c r="C29" s="9">
        <f>C3+C7+C12+C13+C14+C16</f>
        <v>86905.88</v>
      </c>
      <c r="D29" s="9">
        <f t="shared" ref="D29:H29" si="8">D3+D7+D12+D13+D14+D16</f>
        <v>659253.6399999999</v>
      </c>
      <c r="E29" s="9">
        <f t="shared" si="8"/>
        <v>67676.98000000001</v>
      </c>
      <c r="F29" s="9">
        <f t="shared" si="8"/>
        <v>654129.12000000011</v>
      </c>
      <c r="G29" s="9">
        <f t="shared" si="8"/>
        <v>-19228.899999999991</v>
      </c>
      <c r="H29" s="9">
        <f t="shared" si="8"/>
        <v>-5124.519999999935</v>
      </c>
    </row>
    <row r="32" spans="1:12">
      <c r="E32" s="63">
        <v>229890.92</v>
      </c>
      <c r="F32" s="63">
        <v>227431.27</v>
      </c>
    </row>
    <row r="33" spans="5:9">
      <c r="E33" s="63">
        <v>38990.53</v>
      </c>
      <c r="F33" s="63">
        <v>16852.23</v>
      </c>
    </row>
    <row r="34" spans="5:9">
      <c r="E34" s="64">
        <f>E32+E33</f>
        <v>268881.45</v>
      </c>
      <c r="F34" s="64">
        <f>F32+F33</f>
        <v>244283.5</v>
      </c>
    </row>
    <row r="40" spans="5:9" ht="15">
      <c r="I40" s="12"/>
    </row>
    <row r="41" spans="5:9" ht="15">
      <c r="I41" s="12"/>
    </row>
  </sheetData>
  <phoneticPr fontId="0" type="noConversion"/>
  <pageMargins left="0.28999999999999998" right="0.17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декабрь17</vt:lpstr>
      <vt:lpstr>Лист14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2017-09-26T15:09:48Z</cp:lastPrinted>
  <dcterms:created xsi:type="dcterms:W3CDTF">1996-10-08T23:32:33Z</dcterms:created>
  <dcterms:modified xsi:type="dcterms:W3CDTF">2018-01-18T14:19:41Z</dcterms:modified>
</cp:coreProperties>
</file>