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7" sheetId="13" r:id="rId12"/>
    <sheet name="Лист14" sheetId="14" r:id="rId13"/>
  </sheets>
  <calcPr calcId="125725"/>
</workbook>
</file>

<file path=xl/calcChain.xml><?xml version="1.0" encoding="utf-8"?>
<calcChain xmlns="http://schemas.openxmlformats.org/spreadsheetml/2006/main">
  <c r="E20" i="13"/>
  <c r="E19"/>
  <c r="C20"/>
  <c r="C19"/>
  <c r="E13"/>
  <c r="E12"/>
  <c r="C13"/>
  <c r="C12"/>
  <c r="E3"/>
  <c r="E10"/>
  <c r="E9"/>
  <c r="E36"/>
  <c r="C36"/>
  <c r="E16"/>
  <c r="C16"/>
  <c r="E22"/>
  <c r="C22"/>
  <c r="C21"/>
  <c r="E21"/>
  <c r="E18"/>
  <c r="C18"/>
  <c r="E17"/>
  <c r="C17"/>
  <c r="E14"/>
  <c r="C14"/>
  <c r="E15"/>
  <c r="C15"/>
  <c r="E11"/>
  <c r="C11"/>
  <c r="C9"/>
  <c r="C10"/>
  <c r="E8"/>
  <c r="C8"/>
  <c r="E7"/>
  <c r="C7"/>
  <c r="E6"/>
  <c r="C6"/>
  <c r="E5"/>
  <c r="C5"/>
  <c r="E4"/>
  <c r="C4"/>
  <c r="C3"/>
  <c r="E19" i="12"/>
  <c r="E16"/>
  <c r="C19"/>
  <c r="C16"/>
  <c r="E20"/>
  <c r="C20"/>
  <c r="E13"/>
  <c r="E12"/>
  <c r="C13"/>
  <c r="C12"/>
  <c r="E35"/>
  <c r="D35"/>
  <c r="E22"/>
  <c r="C22"/>
  <c r="E21"/>
  <c r="C21"/>
  <c r="E18"/>
  <c r="C18"/>
  <c r="E17"/>
  <c r="C17"/>
  <c r="E14"/>
  <c r="C14"/>
  <c r="E15"/>
  <c r="C15"/>
  <c r="E11"/>
  <c r="C11"/>
  <c r="E9"/>
  <c r="C9"/>
  <c r="E10"/>
  <c r="C10"/>
  <c r="E8"/>
  <c r="C8"/>
  <c r="E7"/>
  <c r="C7"/>
  <c r="E6"/>
  <c r="C6"/>
  <c r="E5"/>
  <c r="C5"/>
  <c r="E4"/>
  <c r="C4"/>
  <c r="E3"/>
  <c r="C3"/>
  <c r="E20" i="10"/>
  <c r="E19"/>
  <c r="C20"/>
  <c r="C19"/>
  <c r="E13"/>
  <c r="E12"/>
  <c r="C13"/>
  <c r="C12"/>
  <c r="E35"/>
  <c r="D35"/>
  <c r="E16"/>
  <c r="C16"/>
  <c r="E22"/>
  <c r="C22"/>
  <c r="E21"/>
  <c r="C21"/>
  <c r="E18"/>
  <c r="C18"/>
  <c r="E17"/>
  <c r="C17"/>
  <c r="E15"/>
  <c r="C15"/>
  <c r="E11"/>
  <c r="C11"/>
  <c r="E9"/>
  <c r="C9"/>
  <c r="E10"/>
  <c r="C10"/>
  <c r="E8"/>
  <c r="C8"/>
  <c r="E7"/>
  <c r="C7"/>
  <c r="E6"/>
  <c r="C6"/>
  <c r="E5"/>
  <c r="C5"/>
  <c r="E4"/>
  <c r="C4"/>
  <c r="E3"/>
  <c r="C3"/>
  <c r="C14"/>
  <c r="E14"/>
  <c r="E20" i="11"/>
  <c r="E19"/>
  <c r="C20"/>
  <c r="C19"/>
  <c r="E13"/>
  <c r="E12"/>
  <c r="C13"/>
  <c r="C12"/>
  <c r="E21"/>
  <c r="E15"/>
  <c r="C3"/>
  <c r="F35"/>
  <c r="E35"/>
  <c r="E16"/>
  <c r="C16"/>
  <c r="E22"/>
  <c r="C22"/>
  <c r="C21"/>
  <c r="E18"/>
  <c r="C18"/>
  <c r="E17"/>
  <c r="C17"/>
  <c r="E14"/>
  <c r="C14"/>
  <c r="C15"/>
  <c r="E11"/>
  <c r="C11"/>
  <c r="E9"/>
  <c r="C9"/>
  <c r="E10"/>
  <c r="C10"/>
  <c r="E8"/>
  <c r="C8"/>
  <c r="E7"/>
  <c r="C7"/>
  <c r="E6"/>
  <c r="C6"/>
  <c r="E5"/>
  <c r="C5"/>
  <c r="E4"/>
  <c r="C4"/>
  <c r="E3"/>
  <c r="I36" i="9"/>
  <c r="H36"/>
  <c r="E5"/>
  <c r="C5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E6"/>
  <c r="C7"/>
  <c r="C6"/>
  <c r="E4"/>
  <c r="C4"/>
  <c r="E3"/>
  <c r="C3"/>
  <c r="E18" i="8"/>
  <c r="E7"/>
  <c r="E6"/>
  <c r="E22"/>
  <c r="E17"/>
  <c r="E16"/>
  <c r="E15"/>
  <c r="E14"/>
  <c r="E12"/>
  <c r="E11"/>
  <c r="E10"/>
  <c r="E9"/>
  <c r="E5"/>
  <c r="E4"/>
  <c r="E3"/>
  <c r="D35"/>
  <c r="E35"/>
  <c r="C5"/>
  <c r="K36" i="6"/>
  <c r="J36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C5" i="7"/>
  <c r="E21"/>
  <c r="E19"/>
  <c r="E20"/>
  <c r="E17"/>
  <c r="E16"/>
  <c r="J35"/>
  <c r="I35"/>
  <c r="E22"/>
  <c r="C22"/>
  <c r="C21"/>
  <c r="C20"/>
  <c r="C19"/>
  <c r="E18"/>
  <c r="C18"/>
  <c r="C17"/>
  <c r="C16"/>
  <c r="E15"/>
  <c r="C15"/>
  <c r="E14"/>
  <c r="C14"/>
  <c r="E13"/>
  <c r="C13"/>
  <c r="E12"/>
  <c r="C12"/>
  <c r="E11"/>
  <c r="C11"/>
  <c r="C10"/>
  <c r="E10"/>
  <c r="E9"/>
  <c r="C9"/>
  <c r="E8"/>
  <c r="C8"/>
  <c r="E7"/>
  <c r="C7"/>
  <c r="E6"/>
  <c r="C6"/>
  <c r="E5"/>
  <c r="E4"/>
  <c r="C4"/>
  <c r="E3"/>
  <c r="C3"/>
  <c r="K39" i="5"/>
  <c r="J39"/>
  <c r="J36" i="4"/>
  <c r="I36"/>
  <c r="E22"/>
  <c r="C22"/>
  <c r="E21"/>
  <c r="C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C5"/>
  <c r="E4"/>
  <c r="C4"/>
  <c r="E3"/>
  <c r="C3"/>
  <c r="C21" i="3"/>
  <c r="C5"/>
  <c r="E22"/>
  <c r="C22"/>
  <c r="E21"/>
  <c r="E18"/>
  <c r="C18"/>
  <c r="E17"/>
  <c r="C17"/>
  <c r="E16"/>
  <c r="C16"/>
  <c r="E15"/>
  <c r="C15"/>
  <c r="E14"/>
  <c r="C14"/>
  <c r="E11"/>
  <c r="C11"/>
  <c r="E10"/>
  <c r="C10"/>
  <c r="E9"/>
  <c r="C9"/>
  <c r="E8"/>
  <c r="C8"/>
  <c r="E7"/>
  <c r="C7"/>
  <c r="E6"/>
  <c r="C6"/>
  <c r="E5"/>
  <c r="E4"/>
  <c r="C4"/>
  <c r="E3"/>
  <c r="C3"/>
  <c r="E25" i="13"/>
  <c r="C25"/>
  <c r="I30" i="12"/>
  <c r="E30"/>
  <c r="C30"/>
  <c r="I29"/>
  <c r="E29"/>
  <c r="C29"/>
  <c r="I28"/>
  <c r="E28"/>
  <c r="C28"/>
  <c r="I30" i="10"/>
  <c r="E30"/>
  <c r="C30"/>
  <c r="I29"/>
  <c r="E29"/>
  <c r="C29"/>
  <c r="I28"/>
  <c r="E28"/>
  <c r="C28"/>
  <c r="I30" i="11"/>
  <c r="E30"/>
  <c r="C30"/>
  <c r="I29"/>
  <c r="E29"/>
  <c r="C29"/>
  <c r="I28"/>
  <c r="E28"/>
  <c r="C28"/>
  <c r="I30" i="9"/>
  <c r="E30"/>
  <c r="C30"/>
  <c r="I29"/>
  <c r="E29"/>
  <c r="C29"/>
  <c r="I28"/>
  <c r="E28"/>
  <c r="C28"/>
  <c r="I30" i="8"/>
  <c r="E30"/>
  <c r="C30"/>
  <c r="I29"/>
  <c r="E29"/>
  <c r="C29"/>
  <c r="I28"/>
  <c r="E28"/>
  <c r="C28"/>
  <c r="I30" i="7" l="1"/>
  <c r="E30"/>
  <c r="C30"/>
  <c r="I29"/>
  <c r="E29"/>
  <c r="C29"/>
  <c r="I28"/>
  <c r="E28"/>
  <c r="C28"/>
  <c r="I30" i="6"/>
  <c r="E30"/>
  <c r="C30"/>
  <c r="I29"/>
  <c r="E29"/>
  <c r="C29"/>
  <c r="I28"/>
  <c r="E28"/>
  <c r="C28"/>
  <c r="I32" i="5"/>
  <c r="E32"/>
  <c r="C32"/>
  <c r="I31"/>
  <c r="E31"/>
  <c r="C31"/>
  <c r="I30"/>
  <c r="E30"/>
  <c r="C30"/>
  <c r="I30" i="4"/>
  <c r="E30"/>
  <c r="C30"/>
  <c r="I29"/>
  <c r="E29"/>
  <c r="C29"/>
  <c r="I28"/>
  <c r="E28"/>
  <c r="C28"/>
  <c r="I30" i="3"/>
  <c r="E30"/>
  <c r="C30"/>
  <c r="I29"/>
  <c r="E29"/>
  <c r="C29"/>
  <c r="I28"/>
  <c r="E28"/>
  <c r="C28"/>
  <c r="E25" i="2"/>
  <c r="C25"/>
  <c r="E30"/>
  <c r="I30"/>
  <c r="C30"/>
  <c r="E29"/>
  <c r="I29"/>
  <c r="C29"/>
  <c r="E28"/>
  <c r="I28"/>
  <c r="C28"/>
  <c r="C30" i="13"/>
  <c r="C29"/>
  <c r="C28"/>
  <c r="I30"/>
  <c r="E30"/>
  <c r="I29"/>
  <c r="E29"/>
  <c r="I28"/>
  <c r="E28"/>
  <c r="E25" i="11" l="1"/>
  <c r="C25"/>
  <c r="E25" i="7"/>
  <c r="C25"/>
  <c r="C25" i="4"/>
  <c r="E25"/>
  <c r="B4" i="3"/>
  <c r="B4" i="4"/>
  <c r="B6" i="5"/>
  <c r="B4" i="6"/>
  <c r="B4" i="7"/>
  <c r="B4" i="8"/>
  <c r="B4" i="9"/>
  <c r="B4" i="11"/>
  <c r="B4" i="10"/>
  <c r="B4" i="12"/>
  <c r="B4" i="13"/>
  <c r="B5" i="3"/>
  <c r="B5" i="4"/>
  <c r="B7" i="5"/>
  <c r="B5" i="6"/>
  <c r="B5" i="7"/>
  <c r="B5" i="8"/>
  <c r="B5" i="9"/>
  <c r="B5" i="11"/>
  <c r="B5" i="10"/>
  <c r="B5" i="12"/>
  <c r="B5" i="13"/>
  <c r="B6" i="3"/>
  <c r="B6" i="4"/>
  <c r="B8" i="5"/>
  <c r="B6" i="6"/>
  <c r="B6" i="7"/>
  <c r="B6" i="8"/>
  <c r="B6" i="9"/>
  <c r="B6" i="11"/>
  <c r="B6" i="10"/>
  <c r="B6" i="12"/>
  <c r="B6" i="13"/>
  <c r="B7" i="3"/>
  <c r="B7" i="4"/>
  <c r="B9" i="5"/>
  <c r="B7" i="6"/>
  <c r="B7" i="7"/>
  <c r="B7" i="8"/>
  <c r="B7" i="9"/>
  <c r="B7" i="11"/>
  <c r="B7" i="10"/>
  <c r="B7" i="12"/>
  <c r="B7" i="13"/>
  <c r="B8" i="3"/>
  <c r="B8" i="4"/>
  <c r="B10" i="5"/>
  <c r="B8" i="6"/>
  <c r="B8" i="7"/>
  <c r="B8" i="8"/>
  <c r="B8" i="9"/>
  <c r="B8" i="11"/>
  <c r="B8" i="10"/>
  <c r="B8" i="12"/>
  <c r="B8" i="13"/>
  <c r="B9" i="3"/>
  <c r="B9" i="4"/>
  <c r="B11" i="5"/>
  <c r="B9" i="6"/>
  <c r="B9" i="7"/>
  <c r="B9" i="8"/>
  <c r="B9" i="9"/>
  <c r="B9" i="11"/>
  <c r="B9" i="10"/>
  <c r="B9" i="12"/>
  <c r="B9" i="13"/>
  <c r="B10" i="3"/>
  <c r="B10" i="4"/>
  <c r="B12" i="5"/>
  <c r="B10" i="6"/>
  <c r="B10" i="7"/>
  <c r="B10" i="8"/>
  <c r="B10" i="9"/>
  <c r="B10" i="11"/>
  <c r="B10" i="10"/>
  <c r="B10" i="12"/>
  <c r="B10" i="13"/>
  <c r="B11" i="3"/>
  <c r="B11" i="4"/>
  <c r="B13" i="5"/>
  <c r="B11" i="6"/>
  <c r="B11" i="7"/>
  <c r="B11" i="8"/>
  <c r="B11" i="9"/>
  <c r="B11" i="11"/>
  <c r="B11" i="10"/>
  <c r="B11" i="12"/>
  <c r="B11" i="13"/>
  <c r="B12" i="3"/>
  <c r="B12" i="4"/>
  <c r="B14" i="5"/>
  <c r="B12" i="6"/>
  <c r="B12" i="7"/>
  <c r="B12" i="8"/>
  <c r="B12" i="9"/>
  <c r="B12" i="11"/>
  <c r="B12" i="10"/>
  <c r="B12" i="12"/>
  <c r="B12" i="13"/>
  <c r="B13" i="3"/>
  <c r="B13" i="4"/>
  <c r="B15" i="5"/>
  <c r="B13" i="6"/>
  <c r="B13" i="7"/>
  <c r="B13" i="8"/>
  <c r="B13" i="9"/>
  <c r="B13" i="11"/>
  <c r="B13" i="10"/>
  <c r="B13" i="12"/>
  <c r="B13" i="13"/>
  <c r="B14" i="3"/>
  <c r="B14" i="4"/>
  <c r="B16" i="5"/>
  <c r="B14" i="6"/>
  <c r="B14" i="7"/>
  <c r="B14" i="8"/>
  <c r="B14" i="9"/>
  <c r="B14" i="11"/>
  <c r="B14" i="10"/>
  <c r="B14" i="12"/>
  <c r="B14" i="13"/>
  <c r="B15" i="3"/>
  <c r="B15" i="4"/>
  <c r="B17" i="5"/>
  <c r="B15" i="6"/>
  <c r="B15" i="7"/>
  <c r="B15" i="8"/>
  <c r="B15" i="9"/>
  <c r="B15" i="11"/>
  <c r="B15" i="10"/>
  <c r="B15" i="12"/>
  <c r="B15" i="13"/>
  <c r="B16" i="3"/>
  <c r="B16" i="4"/>
  <c r="B18" i="5"/>
  <c r="B16" i="6"/>
  <c r="B16" i="7"/>
  <c r="B16" i="8"/>
  <c r="B16" i="9"/>
  <c r="B16" i="11"/>
  <c r="B16" i="10"/>
  <c r="B16" i="12"/>
  <c r="B16" i="13"/>
  <c r="B17" i="3"/>
  <c r="B17" i="4"/>
  <c r="B19" i="5"/>
  <c r="B17" i="6"/>
  <c r="B17" i="7"/>
  <c r="B17" i="8"/>
  <c r="B17" i="9"/>
  <c r="B17" i="11"/>
  <c r="B17" i="10"/>
  <c r="B17" i="12"/>
  <c r="B17" i="13"/>
  <c r="B18" i="3"/>
  <c r="B18" i="4"/>
  <c r="B20" i="5"/>
  <c r="B18" i="6"/>
  <c r="B18" i="7"/>
  <c r="B18" i="8"/>
  <c r="B18" i="9"/>
  <c r="B18" i="11"/>
  <c r="B18" i="10"/>
  <c r="B18" i="12"/>
  <c r="B18" i="13"/>
  <c r="B19" i="3"/>
  <c r="B19" i="4"/>
  <c r="B21" i="5"/>
  <c r="B19" i="6"/>
  <c r="B19" i="7"/>
  <c r="B19" i="8"/>
  <c r="B19" i="9"/>
  <c r="B19" i="11"/>
  <c r="B19" i="10"/>
  <c r="B19" i="12"/>
  <c r="B19" i="13"/>
  <c r="B20" i="3"/>
  <c r="B20" i="4"/>
  <c r="B22" i="5"/>
  <c r="B20" i="6"/>
  <c r="B20" i="7"/>
  <c r="B20" i="8"/>
  <c r="B20" i="9"/>
  <c r="B20" i="11"/>
  <c r="B20" i="10"/>
  <c r="B20" i="12"/>
  <c r="B20" i="13"/>
  <c r="B21" i="3"/>
  <c r="B21" i="4"/>
  <c r="B23" i="5"/>
  <c r="B21" i="6"/>
  <c r="B21" i="7"/>
  <c r="B21" i="8"/>
  <c r="B21" i="9"/>
  <c r="B21" i="11"/>
  <c r="B21" i="10"/>
  <c r="B21" i="12"/>
  <c r="B21" i="13"/>
  <c r="B22" i="3"/>
  <c r="B24" i="5"/>
  <c r="B22" i="6"/>
  <c r="B22" i="7"/>
  <c r="B22" i="8"/>
  <c r="B22" i="9"/>
  <c r="B22" i="11"/>
  <c r="B22" i="10"/>
  <c r="B22" i="12"/>
  <c r="B22" i="13"/>
  <c r="B3" i="3"/>
  <c r="B3" i="4"/>
  <c r="B5" i="5"/>
  <c r="B3" i="6"/>
  <c r="B3" i="7"/>
  <c r="B3" i="8"/>
  <c r="B3" i="9"/>
  <c r="B3" i="11"/>
  <c r="B3" i="10"/>
  <c r="B3" i="12"/>
  <c r="B3" i="13"/>
  <c r="L4" i="2"/>
  <c r="L5"/>
  <c r="L5" i="3"/>
  <c r="L5" i="4"/>
  <c r="L7" i="5"/>
  <c r="L5" i="6"/>
  <c r="L5" i="7"/>
  <c r="L5" i="8"/>
  <c r="L5" i="9"/>
  <c r="L5" i="11"/>
  <c r="L5" i="10"/>
  <c r="L5" i="12"/>
  <c r="L5" i="13"/>
  <c r="L6" i="2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F4"/>
  <c r="F5"/>
  <c r="F6"/>
  <c r="F7"/>
  <c r="F8"/>
  <c r="F9"/>
  <c r="F10"/>
  <c r="F11"/>
  <c r="F12"/>
  <c r="F13"/>
  <c r="F14"/>
  <c r="F15"/>
  <c r="F16"/>
  <c r="F17"/>
  <c r="F18"/>
  <c r="F19"/>
  <c r="F20"/>
  <c r="F20" i="3"/>
  <c r="F20" i="4"/>
  <c r="F22" i="5"/>
  <c r="F20" i="6"/>
  <c r="F20" i="7"/>
  <c r="F20" i="8"/>
  <c r="F20" i="9"/>
  <c r="F20" i="11"/>
  <c r="F20" i="10"/>
  <c r="F20" i="12"/>
  <c r="F20" i="13"/>
  <c r="F21" i="2"/>
  <c r="F22"/>
  <c r="F3"/>
  <c r="F25" s="1"/>
  <c r="D4"/>
  <c r="D5"/>
  <c r="D5" i="3"/>
  <c r="D5" i="4"/>
  <c r="D6" i="2"/>
  <c r="D7"/>
  <c r="D7" i="3"/>
  <c r="D8" i="2"/>
  <c r="D9"/>
  <c r="D9" i="3"/>
  <c r="D10" i="2"/>
  <c r="D11"/>
  <c r="D11" i="3"/>
  <c r="D12" i="2"/>
  <c r="D13"/>
  <c r="D13" i="3"/>
  <c r="D14" i="2"/>
  <c r="D15"/>
  <c r="D16"/>
  <c r="D17"/>
  <c r="D18"/>
  <c r="D19"/>
  <c r="D20"/>
  <c r="D21"/>
  <c r="D22"/>
  <c r="D3"/>
  <c r="D25" s="1"/>
  <c r="M4"/>
  <c r="G22" i="12"/>
  <c r="G9"/>
  <c r="G17"/>
  <c r="G5"/>
  <c r="C23"/>
  <c r="G18" i="2"/>
  <c r="G19"/>
  <c r="G20"/>
  <c r="G21"/>
  <c r="F18" i="3"/>
  <c r="F18" i="4"/>
  <c r="F20" i="5"/>
  <c r="F18" i="6"/>
  <c r="F18" i="7"/>
  <c r="F18" i="8"/>
  <c r="F18" i="9"/>
  <c r="F18" i="11"/>
  <c r="F18" i="10"/>
  <c r="F18" i="12"/>
  <c r="F18" i="13"/>
  <c r="J4" i="3"/>
  <c r="J5"/>
  <c r="J5" i="4"/>
  <c r="J7" i="5"/>
  <c r="J5" i="6"/>
  <c r="J5" i="7"/>
  <c r="J5" i="8"/>
  <c r="J5" i="9"/>
  <c r="J5" i="11"/>
  <c r="J5" i="10"/>
  <c r="J5" i="12"/>
  <c r="J5" i="13"/>
  <c r="J6" i="3"/>
  <c r="J6" i="4"/>
  <c r="J8" i="5"/>
  <c r="J6" i="6"/>
  <c r="J6" i="7"/>
  <c r="J6" i="8"/>
  <c r="J6" i="9"/>
  <c r="J6" i="11"/>
  <c r="J6" i="10"/>
  <c r="J6" i="12"/>
  <c r="J6" i="13"/>
  <c r="J7" i="3"/>
  <c r="J7" i="4"/>
  <c r="J9" i="5"/>
  <c r="J7" i="6"/>
  <c r="J7" i="7"/>
  <c r="J7" i="8"/>
  <c r="J7" i="9"/>
  <c r="J7" i="11"/>
  <c r="J7" i="10"/>
  <c r="J7" i="12"/>
  <c r="J7" i="13"/>
  <c r="J8" i="3"/>
  <c r="J8" i="4"/>
  <c r="J10" i="5"/>
  <c r="J8" i="6"/>
  <c r="J8" i="7"/>
  <c r="J8" i="8"/>
  <c r="J8" i="9"/>
  <c r="J8" i="11"/>
  <c r="J8" i="10"/>
  <c r="J8" i="12"/>
  <c r="J8" i="13"/>
  <c r="J9" i="3"/>
  <c r="J9" i="4"/>
  <c r="J11" i="5"/>
  <c r="J9" i="6"/>
  <c r="J9" i="7"/>
  <c r="J9" i="8"/>
  <c r="J9" i="9"/>
  <c r="J9" i="11"/>
  <c r="J9" i="10"/>
  <c r="J9" i="12"/>
  <c r="J9" i="13"/>
  <c r="J10" i="3"/>
  <c r="J10" i="4"/>
  <c r="J12" i="5"/>
  <c r="J10" i="6"/>
  <c r="J10" i="7"/>
  <c r="J10" i="8"/>
  <c r="J10" i="9"/>
  <c r="J10" i="11"/>
  <c r="J10" i="10"/>
  <c r="J10" i="12"/>
  <c r="J10" i="13"/>
  <c r="J11" i="3"/>
  <c r="J11" i="4"/>
  <c r="J13" i="5"/>
  <c r="J11" i="6"/>
  <c r="J11" i="7"/>
  <c r="J11" i="8"/>
  <c r="J11" i="9"/>
  <c r="J11" i="11"/>
  <c r="J11" i="10"/>
  <c r="J12" i="3"/>
  <c r="J12" i="4"/>
  <c r="J14" i="5"/>
  <c r="J12" i="6"/>
  <c r="J12" i="7"/>
  <c r="J12" i="8"/>
  <c r="J12" i="9"/>
  <c r="J12" i="11"/>
  <c r="J12" i="10"/>
  <c r="J12" i="12"/>
  <c r="J12" i="13"/>
  <c r="J13" i="3"/>
  <c r="J13" i="4"/>
  <c r="J15" i="5"/>
  <c r="J13" i="6"/>
  <c r="J13" i="7"/>
  <c r="J13" i="8"/>
  <c r="J13" i="9"/>
  <c r="J13" i="11"/>
  <c r="J13" i="10"/>
  <c r="J13" i="12"/>
  <c r="J13" i="13"/>
  <c r="J14" i="3"/>
  <c r="J14" i="4"/>
  <c r="J16" i="5"/>
  <c r="J14" i="6"/>
  <c r="J14" i="7"/>
  <c r="J14" i="8"/>
  <c r="J14" i="9"/>
  <c r="J14" i="11"/>
  <c r="J14" i="10"/>
  <c r="J14" i="12"/>
  <c r="J14" i="13"/>
  <c r="J15" i="3"/>
  <c r="J15" i="4"/>
  <c r="J17" i="5"/>
  <c r="J15" i="6"/>
  <c r="J15" i="7"/>
  <c r="J15" i="8"/>
  <c r="J15" i="9"/>
  <c r="J15" i="11"/>
  <c r="J15" i="10"/>
  <c r="J15" i="12"/>
  <c r="J15" i="13"/>
  <c r="J16" i="3"/>
  <c r="J16" i="4"/>
  <c r="J18" i="5"/>
  <c r="J16" i="6"/>
  <c r="J16" i="7"/>
  <c r="J16" i="8"/>
  <c r="J16" i="9"/>
  <c r="J16" i="11"/>
  <c r="J16" i="10"/>
  <c r="J16" i="12"/>
  <c r="J16" i="13"/>
  <c r="J17" i="3"/>
  <c r="J17" i="4"/>
  <c r="J19" i="5"/>
  <c r="J17" i="6"/>
  <c r="J17" i="7"/>
  <c r="J17" i="8"/>
  <c r="J17" i="9"/>
  <c r="J17" i="11"/>
  <c r="J17" i="10"/>
  <c r="J17" i="12"/>
  <c r="J17" i="13"/>
  <c r="F4" i="3"/>
  <c r="F4" i="4"/>
  <c r="F6" i="5"/>
  <c r="F4" i="6"/>
  <c r="F4" i="7"/>
  <c r="F4" i="8"/>
  <c r="F4" i="9"/>
  <c r="F4" i="11"/>
  <c r="F4" i="10"/>
  <c r="F4" i="12"/>
  <c r="F4" i="13"/>
  <c r="F5" i="3"/>
  <c r="F5" i="4"/>
  <c r="F7" i="5"/>
  <c r="F5" i="6"/>
  <c r="F5" i="7"/>
  <c r="F5" i="8"/>
  <c r="F5" i="9"/>
  <c r="F5" i="11"/>
  <c r="F5" i="10"/>
  <c r="F5" i="12"/>
  <c r="F5" i="13"/>
  <c r="F6" i="3"/>
  <c r="F6" i="4"/>
  <c r="F8" i="5"/>
  <c r="F6" i="6"/>
  <c r="F6" i="7"/>
  <c r="F6" i="8"/>
  <c r="F6" i="9"/>
  <c r="F6" i="11"/>
  <c r="F6" i="10"/>
  <c r="F6" i="12"/>
  <c r="F6" i="13"/>
  <c r="F7" i="3"/>
  <c r="F7" i="4"/>
  <c r="F9" i="5"/>
  <c r="F7" i="6"/>
  <c r="F7" i="7"/>
  <c r="F7" i="8"/>
  <c r="F7" i="9"/>
  <c r="F7" i="11"/>
  <c r="F7" i="10"/>
  <c r="F7" i="12"/>
  <c r="F7" i="13"/>
  <c r="F8" i="3"/>
  <c r="F8" i="4"/>
  <c r="F10" i="5"/>
  <c r="F8" i="6"/>
  <c r="F8" i="7"/>
  <c r="F8" i="8"/>
  <c r="F8" i="9"/>
  <c r="F8" i="11"/>
  <c r="F8" i="10"/>
  <c r="F8" i="12"/>
  <c r="F8" i="13"/>
  <c r="F9" i="3"/>
  <c r="F9" i="4"/>
  <c r="F11" i="5"/>
  <c r="F9" i="6"/>
  <c r="F9" i="7"/>
  <c r="F9" i="8"/>
  <c r="F9" i="9"/>
  <c r="F9" i="11"/>
  <c r="F9" i="10"/>
  <c r="F9" i="12"/>
  <c r="F9" i="13"/>
  <c r="F10" i="3"/>
  <c r="F10" i="4"/>
  <c r="F12" i="5"/>
  <c r="F10" i="6"/>
  <c r="F10" i="7"/>
  <c r="F10" i="8"/>
  <c r="F10" i="9"/>
  <c r="F10" i="11"/>
  <c r="F10" i="10"/>
  <c r="F10" i="12"/>
  <c r="F10" i="13"/>
  <c r="F11" i="3"/>
  <c r="F11" i="4"/>
  <c r="F13" i="5"/>
  <c r="F11" i="6"/>
  <c r="F11" i="7"/>
  <c r="F11" i="8"/>
  <c r="F11" i="9"/>
  <c r="F11" i="11"/>
  <c r="F11" i="10"/>
  <c r="F11" i="12"/>
  <c r="F11" i="13"/>
  <c r="F12" i="3"/>
  <c r="F12" i="4"/>
  <c r="F13" i="3"/>
  <c r="F13" i="4"/>
  <c r="F15" i="5"/>
  <c r="F13" i="6"/>
  <c r="F13" i="7"/>
  <c r="F13" i="8"/>
  <c r="F13" i="9"/>
  <c r="F13" i="11"/>
  <c r="F13" i="10"/>
  <c r="F13" i="12"/>
  <c r="F13" i="13"/>
  <c r="F14" i="3"/>
  <c r="F14" i="4"/>
  <c r="F16" i="5"/>
  <c r="F14" i="6"/>
  <c r="F14" i="7"/>
  <c r="F14" i="8"/>
  <c r="F14" i="9"/>
  <c r="F14" i="11"/>
  <c r="F14" i="10"/>
  <c r="F14" i="12"/>
  <c r="F14" i="13"/>
  <c r="F15" i="3"/>
  <c r="F15" i="4"/>
  <c r="F16" i="3"/>
  <c r="F16" i="4"/>
  <c r="F17" i="3"/>
  <c r="F17" i="4"/>
  <c r="F19" i="5"/>
  <c r="F17" i="6"/>
  <c r="F17" i="7"/>
  <c r="F17" i="8"/>
  <c r="F17" i="9"/>
  <c r="F17" i="11"/>
  <c r="F17" i="10"/>
  <c r="F17" i="12"/>
  <c r="F17" i="13"/>
  <c r="F3" i="3"/>
  <c r="D4"/>
  <c r="D6"/>
  <c r="D8"/>
  <c r="D10"/>
  <c r="D12"/>
  <c r="D14"/>
  <c r="D14" i="4"/>
  <c r="D16" i="3"/>
  <c r="D17"/>
  <c r="D3"/>
  <c r="L4"/>
  <c r="K23" i="1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2"/>
  <c r="I23"/>
  <c r="G3"/>
  <c r="G4"/>
  <c r="G6"/>
  <c r="G7"/>
  <c r="G8"/>
  <c r="G10"/>
  <c r="G11"/>
  <c r="G12"/>
  <c r="G13"/>
  <c r="G14"/>
  <c r="G15"/>
  <c r="G16"/>
  <c r="G18"/>
  <c r="G19"/>
  <c r="G20"/>
  <c r="G21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G35" s="1"/>
  <c r="C23"/>
  <c r="D35" s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5"/>
  <c r="I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E25"/>
  <c r="C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L21"/>
  <c r="L21" i="4"/>
  <c r="L23" i="5"/>
  <c r="L21" i="6"/>
  <c r="L21" i="7"/>
  <c r="L21" i="8"/>
  <c r="L21" i="9"/>
  <c r="L21" i="11"/>
  <c r="L21" i="10"/>
  <c r="L21" i="12"/>
  <c r="L21" i="13"/>
  <c r="J18" i="3"/>
  <c r="J18" i="4"/>
  <c r="J20" i="5"/>
  <c r="J18" i="6"/>
  <c r="J18" i="7"/>
  <c r="J18" i="8"/>
  <c r="J18" i="9"/>
  <c r="J18" i="11"/>
  <c r="J18" i="10"/>
  <c r="J18" i="12"/>
  <c r="J18" i="13"/>
  <c r="J19" i="3"/>
  <c r="J19" i="4"/>
  <c r="J21" i="5"/>
  <c r="J19" i="6"/>
  <c r="J19" i="7"/>
  <c r="J19" i="8"/>
  <c r="J19" i="9"/>
  <c r="J19" i="11"/>
  <c r="J19" i="10"/>
  <c r="J19" i="12"/>
  <c r="J19" i="13"/>
  <c r="J20" i="3"/>
  <c r="J20" i="4"/>
  <c r="J22" i="5"/>
  <c r="J20" i="6"/>
  <c r="J20" i="7"/>
  <c r="J20" i="8"/>
  <c r="J20" i="9"/>
  <c r="J20" i="11"/>
  <c r="J20" i="10"/>
  <c r="J20" i="12"/>
  <c r="J20" i="13"/>
  <c r="J22" i="3"/>
  <c r="J22" i="4"/>
  <c r="J24" i="5"/>
  <c r="J22" i="6"/>
  <c r="J22" i="7"/>
  <c r="J22" i="8"/>
  <c r="J22" i="9"/>
  <c r="J22" i="11"/>
  <c r="J22" i="10"/>
  <c r="J22" i="12"/>
  <c r="J22" i="13"/>
  <c r="G4" i="2"/>
  <c r="H4"/>
  <c r="G5"/>
  <c r="H5"/>
  <c r="G6"/>
  <c r="H6"/>
  <c r="G7"/>
  <c r="H7"/>
  <c r="G8"/>
  <c r="H8"/>
  <c r="G9"/>
  <c r="H9"/>
  <c r="G10"/>
  <c r="G29" s="1"/>
  <c r="H10"/>
  <c r="G11"/>
  <c r="H11"/>
  <c r="G12"/>
  <c r="H12"/>
  <c r="G13"/>
  <c r="H13"/>
  <c r="G14"/>
  <c r="H14"/>
  <c r="G15"/>
  <c r="G16"/>
  <c r="H16"/>
  <c r="G17"/>
  <c r="H17"/>
  <c r="D18" i="3"/>
  <c r="F19"/>
  <c r="F19" i="4"/>
  <c r="F21" i="5"/>
  <c r="F19" i="6"/>
  <c r="F19" i="7"/>
  <c r="F19" i="8"/>
  <c r="F19" i="9"/>
  <c r="F19" i="11"/>
  <c r="F19" i="10"/>
  <c r="F19" i="12"/>
  <c r="F19" i="13"/>
  <c r="D19" i="3"/>
  <c r="D19" i="4"/>
  <c r="D20" i="3"/>
  <c r="D20" i="4"/>
  <c r="F21" i="3"/>
  <c r="F21" i="4"/>
  <c r="F23" i="5"/>
  <c r="F21" i="6"/>
  <c r="F21" i="7"/>
  <c r="F21" i="8"/>
  <c r="F21" i="9"/>
  <c r="F21" i="11"/>
  <c r="F21" i="10"/>
  <c r="F21" i="12"/>
  <c r="F21" i="13"/>
  <c r="G22" i="2"/>
  <c r="F22" i="3"/>
  <c r="F22" i="4" s="1"/>
  <c r="L10" i="3"/>
  <c r="L10" i="4"/>
  <c r="L12" i="5"/>
  <c r="L10" i="6"/>
  <c r="L10" i="7"/>
  <c r="L10" i="8"/>
  <c r="L10" i="9"/>
  <c r="L10" i="11"/>
  <c r="L10" i="10"/>
  <c r="L10" i="12"/>
  <c r="L10" i="13"/>
  <c r="L11" i="3"/>
  <c r="L11" i="4"/>
  <c r="L13" i="5"/>
  <c r="L11" i="6"/>
  <c r="L11" i="7"/>
  <c r="L11" i="8"/>
  <c r="L11" i="9"/>
  <c r="L11" i="11"/>
  <c r="L11" i="10"/>
  <c r="L11" i="12"/>
  <c r="L11" i="13"/>
  <c r="L19" i="3"/>
  <c r="L19" i="4"/>
  <c r="L21" i="5"/>
  <c r="L19" i="6"/>
  <c r="L19" i="7"/>
  <c r="L19" i="8"/>
  <c r="L19" i="9"/>
  <c r="L19" i="11"/>
  <c r="L19" i="10"/>
  <c r="L19" i="12"/>
  <c r="L19" i="13"/>
  <c r="J21" i="3"/>
  <c r="J21" i="4"/>
  <c r="J23" i="5"/>
  <c r="J21" i="6"/>
  <c r="J21" i="7"/>
  <c r="J21" i="8"/>
  <c r="J21" i="9"/>
  <c r="J21" i="11"/>
  <c r="J21" i="10"/>
  <c r="J21" i="12"/>
  <c r="J21" i="13"/>
  <c r="D21" i="3"/>
  <c r="L4" i="14"/>
  <c r="L24"/>
  <c r="K24"/>
  <c r="J4"/>
  <c r="J24"/>
  <c r="I24"/>
  <c r="F4"/>
  <c r="D4"/>
  <c r="H4"/>
  <c r="H24"/>
  <c r="G4"/>
  <c r="G24"/>
  <c r="F2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G3"/>
  <c r="G25" s="1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J23"/>
  <c r="G23" i="12"/>
  <c r="L14" i="3"/>
  <c r="L14" i="4"/>
  <c r="L16" i="5"/>
  <c r="L14" i="6"/>
  <c r="L14" i="7"/>
  <c r="L14" i="8"/>
  <c r="L14" i="9"/>
  <c r="L14" i="11"/>
  <c r="L14" i="10"/>
  <c r="L14" i="12"/>
  <c r="L14" i="13"/>
  <c r="L8" i="3"/>
  <c r="L8" i="4"/>
  <c r="L10" i="5"/>
  <c r="L8" i="6"/>
  <c r="L8" i="7"/>
  <c r="L8" i="8"/>
  <c r="L8" i="9"/>
  <c r="L8" i="11"/>
  <c r="L8" i="10"/>
  <c r="L8" i="12"/>
  <c r="L8" i="13"/>
  <c r="H22" i="2"/>
  <c r="L16" i="3"/>
  <c r="L16" i="4"/>
  <c r="L18" i="5"/>
  <c r="L16" i="6"/>
  <c r="L16" i="7"/>
  <c r="L16" i="8"/>
  <c r="L16" i="9"/>
  <c r="L16" i="11"/>
  <c r="L16" i="10"/>
  <c r="L16" i="12"/>
  <c r="L16" i="13"/>
  <c r="L12" i="3"/>
  <c r="L12" i="4"/>
  <c r="L14" i="5"/>
  <c r="L12" i="6"/>
  <c r="L12" i="7"/>
  <c r="L12" i="8"/>
  <c r="L12" i="9"/>
  <c r="L12" i="11"/>
  <c r="L12" i="10"/>
  <c r="L12" i="12"/>
  <c r="L12" i="13"/>
  <c r="L6" i="3"/>
  <c r="L6" i="4"/>
  <c r="L8" i="5"/>
  <c r="L6" i="6"/>
  <c r="L6" i="7"/>
  <c r="L6" i="8"/>
  <c r="L6" i="9"/>
  <c r="L6" i="11"/>
  <c r="L6" i="10"/>
  <c r="L6" i="12"/>
  <c r="L6" i="13"/>
  <c r="L23" i="2"/>
  <c r="L17" i="3"/>
  <c r="L17" i="4"/>
  <c r="L19" i="5"/>
  <c r="L17" i="6"/>
  <c r="L17" i="7"/>
  <c r="L17" i="8"/>
  <c r="L17" i="9"/>
  <c r="L17" i="11"/>
  <c r="L17" i="10"/>
  <c r="L17" i="12"/>
  <c r="L17" i="13"/>
  <c r="L15" i="3"/>
  <c r="L15" i="4"/>
  <c r="L17" i="5"/>
  <c r="L15" i="6"/>
  <c r="L15" i="7"/>
  <c r="L15" i="8"/>
  <c r="L15" i="9"/>
  <c r="L15" i="11"/>
  <c r="L15" i="10"/>
  <c r="L15" i="12"/>
  <c r="L15" i="13"/>
  <c r="L13" i="3"/>
  <c r="L13" i="4"/>
  <c r="L15" i="5"/>
  <c r="L13" i="6"/>
  <c r="L13" i="7"/>
  <c r="L13" i="8"/>
  <c r="L13" i="9"/>
  <c r="L13" i="11"/>
  <c r="L13" i="10"/>
  <c r="L13" i="12"/>
  <c r="L13" i="13"/>
  <c r="L9" i="3"/>
  <c r="L9" i="4"/>
  <c r="L11" i="5"/>
  <c r="L9" i="6"/>
  <c r="L9" i="7"/>
  <c r="L9" i="8"/>
  <c r="L9" i="9"/>
  <c r="L9" i="11"/>
  <c r="L9" i="10"/>
  <c r="L9" i="12"/>
  <c r="L9" i="13"/>
  <c r="L7" i="3"/>
  <c r="L7" i="4"/>
  <c r="L9" i="5"/>
  <c r="L7" i="6"/>
  <c r="L7" i="7"/>
  <c r="L7" i="8"/>
  <c r="L7" i="9"/>
  <c r="L7" i="11"/>
  <c r="L7" i="10"/>
  <c r="L7" i="12"/>
  <c r="L7" i="13"/>
  <c r="H20" i="2"/>
  <c r="H19"/>
  <c r="L22" i="3"/>
  <c r="L22" i="4"/>
  <c r="L24" i="5"/>
  <c r="L22" i="6"/>
  <c r="L22" i="7"/>
  <c r="L22" i="8"/>
  <c r="L22" i="9"/>
  <c r="L22" i="11"/>
  <c r="L22" i="10"/>
  <c r="L22" i="12"/>
  <c r="L22" i="13"/>
  <c r="L20" i="3"/>
  <c r="L20" i="4"/>
  <c r="L22" i="5"/>
  <c r="L20" i="6"/>
  <c r="L20" i="7"/>
  <c r="L20" i="8"/>
  <c r="L20" i="9"/>
  <c r="L20" i="11"/>
  <c r="L20" i="10"/>
  <c r="L20" i="12"/>
  <c r="L20" i="13"/>
  <c r="L18" i="3"/>
  <c r="L18" i="4"/>
  <c r="L20" i="5"/>
  <c r="L18" i="6"/>
  <c r="L18" i="7"/>
  <c r="L18" i="8"/>
  <c r="L18" i="9"/>
  <c r="L18" i="11"/>
  <c r="L18" i="10"/>
  <c r="L18" i="12"/>
  <c r="L18" i="13"/>
  <c r="D22" i="3"/>
  <c r="D22" i="4" s="1"/>
  <c r="L3" i="3"/>
  <c r="L3" i="4"/>
  <c r="H22" i="3"/>
  <c r="J4" i="4"/>
  <c r="J30" s="1"/>
  <c r="J6" i="5"/>
  <c r="J32" s="1"/>
  <c r="J4" i="6"/>
  <c r="J30" s="1"/>
  <c r="E23" i="13"/>
  <c r="D36" s="1"/>
  <c r="G23"/>
  <c r="J3" i="3"/>
  <c r="J3" i="4"/>
  <c r="D16"/>
  <c r="D15" i="3"/>
  <c r="H15"/>
  <c r="H15" i="2"/>
  <c r="H21"/>
  <c r="H18"/>
  <c r="G23" i="6"/>
  <c r="D12" i="4"/>
  <c r="H12" i="3"/>
  <c r="D16" i="6"/>
  <c r="D16" i="7"/>
  <c r="G23" i="2"/>
  <c r="H14" i="3"/>
  <c r="H16"/>
  <c r="H20"/>
  <c r="G23" i="11"/>
  <c r="D7" i="4"/>
  <c r="H7" i="3"/>
  <c r="D15" i="4"/>
  <c r="D15" i="6"/>
  <c r="D15" i="7"/>
  <c r="D15" i="8"/>
  <c r="G23" i="10"/>
  <c r="G23" i="9"/>
  <c r="G23" i="8"/>
  <c r="G23" i="7"/>
  <c r="G25" i="5"/>
  <c r="L23" i="3"/>
  <c r="G23"/>
  <c r="H5"/>
  <c r="M4"/>
  <c r="L4" i="4"/>
  <c r="L5" i="5"/>
  <c r="J4" i="7"/>
  <c r="J30" s="1"/>
  <c r="J23" i="4"/>
  <c r="J23" i="3"/>
  <c r="J5" i="5"/>
  <c r="F18"/>
  <c r="F16" i="6"/>
  <c r="H16" i="4"/>
  <c r="F17" i="5"/>
  <c r="H15" i="4"/>
  <c r="F14" i="5"/>
  <c r="F12" i="6"/>
  <c r="F12" i="7"/>
  <c r="F12" i="8"/>
  <c r="F12" i="9"/>
  <c r="F12" i="11"/>
  <c r="F12" i="10"/>
  <c r="F12" i="12"/>
  <c r="F12" i="13"/>
  <c r="H12" i="4"/>
  <c r="F3"/>
  <c r="F25" s="1"/>
  <c r="F23" i="3"/>
  <c r="H18" i="5"/>
  <c r="F23" i="2"/>
  <c r="H3"/>
  <c r="H25" s="1"/>
  <c r="H23"/>
  <c r="D15" i="9"/>
  <c r="D16" i="8"/>
  <c r="D12" i="6"/>
  <c r="H14" i="5"/>
  <c r="D21" i="4"/>
  <c r="H21" i="3"/>
  <c r="H20" i="4"/>
  <c r="H18" i="3"/>
  <c r="D18" i="4"/>
  <c r="H14"/>
  <c r="D11"/>
  <c r="H11" i="3"/>
  <c r="D10" i="4"/>
  <c r="D29" s="1"/>
  <c r="H10" i="3"/>
  <c r="H29" s="1"/>
  <c r="D9" i="4"/>
  <c r="H9" i="3"/>
  <c r="H7" i="4"/>
  <c r="D4"/>
  <c r="D30" s="1"/>
  <c r="H4" i="3"/>
  <c r="H30" s="1"/>
  <c r="H19" i="4"/>
  <c r="D3"/>
  <c r="H3" i="3"/>
  <c r="D23"/>
  <c r="D17" i="4"/>
  <c r="H17" i="3"/>
  <c r="D13" i="4"/>
  <c r="H13" i="3"/>
  <c r="D6" i="4"/>
  <c r="H6" i="3"/>
  <c r="H5" i="4"/>
  <c r="D8"/>
  <c r="H8" i="3"/>
  <c r="D23" i="2"/>
  <c r="D24" i="14"/>
  <c r="H19" i="3"/>
  <c r="L3" i="6"/>
  <c r="L6" i="5"/>
  <c r="L23" i="4"/>
  <c r="J3" i="6"/>
  <c r="J25" i="5"/>
  <c r="J4" i="8"/>
  <c r="J30" s="1"/>
  <c r="F5" i="5"/>
  <c r="F15" i="6"/>
  <c r="H17" i="5"/>
  <c r="F16" i="7"/>
  <c r="H16" i="6"/>
  <c r="H8" i="4"/>
  <c r="H7" i="5"/>
  <c r="D5" i="6"/>
  <c r="H6" i="4"/>
  <c r="H13"/>
  <c r="H17"/>
  <c r="H18"/>
  <c r="H3"/>
  <c r="D19" i="6"/>
  <c r="H21" i="5"/>
  <c r="H4" i="4"/>
  <c r="H9" i="5"/>
  <c r="D7" i="6"/>
  <c r="H9" i="4"/>
  <c r="H10"/>
  <c r="D30" i="5"/>
  <c r="H11" i="4"/>
  <c r="H28" s="1"/>
  <c r="H16" i="5"/>
  <c r="D14" i="6"/>
  <c r="H22" i="5"/>
  <c r="D20" i="6"/>
  <c r="H21" i="4"/>
  <c r="H12" i="6"/>
  <c r="D12" i="7"/>
  <c r="D16" i="9"/>
  <c r="D15" i="11"/>
  <c r="H23" i="3"/>
  <c r="L4" i="6"/>
  <c r="M6" i="5"/>
  <c r="L3" i="7"/>
  <c r="L23" i="6"/>
  <c r="L25" i="5"/>
  <c r="J4" i="9"/>
  <c r="J30" s="1"/>
  <c r="J3" i="7"/>
  <c r="J23" i="6"/>
  <c r="F16" i="8"/>
  <c r="H16" i="7"/>
  <c r="F15"/>
  <c r="H15" i="6"/>
  <c r="F3"/>
  <c r="D15" i="10"/>
  <c r="D11" i="6"/>
  <c r="H13" i="5"/>
  <c r="D9" i="6"/>
  <c r="H11" i="5"/>
  <c r="H19" i="6"/>
  <c r="D19" i="7"/>
  <c r="D18" i="6"/>
  <c r="H20" i="5"/>
  <c r="D17" i="6"/>
  <c r="H19" i="5"/>
  <c r="D13" i="6"/>
  <c r="H15" i="5"/>
  <c r="D6" i="6"/>
  <c r="H8" i="5"/>
  <c r="D5" i="7"/>
  <c r="H5" i="6"/>
  <c r="D8"/>
  <c r="H10" i="5"/>
  <c r="D16" i="11"/>
  <c r="H12" i="7"/>
  <c r="D12" i="8"/>
  <c r="D21" i="6"/>
  <c r="H23" i="5"/>
  <c r="H20" i="6"/>
  <c r="D20" i="7"/>
  <c r="D14"/>
  <c r="H14" i="6"/>
  <c r="D10"/>
  <c r="D29" s="1"/>
  <c r="H12" i="5"/>
  <c r="H31" s="1"/>
  <c r="D7" i="7"/>
  <c r="H7" i="6"/>
  <c r="D4"/>
  <c r="H6" i="5"/>
  <c r="H5"/>
  <c r="D3" i="6"/>
  <c r="L3" i="8"/>
  <c r="L4" i="7"/>
  <c r="L23"/>
  <c r="M4" i="6"/>
  <c r="J23" i="7"/>
  <c r="J3" i="8"/>
  <c r="J4" i="11"/>
  <c r="J30" s="1"/>
  <c r="F3" i="7"/>
  <c r="F25" s="1"/>
  <c r="H15"/>
  <c r="F15" i="8"/>
  <c r="F16" i="9"/>
  <c r="H16" i="8"/>
  <c r="D20"/>
  <c r="H20" i="7"/>
  <c r="H12" i="8"/>
  <c r="D12" i="9"/>
  <c r="D16" i="10"/>
  <c r="D19" i="8"/>
  <c r="H19" i="7"/>
  <c r="D3"/>
  <c r="H3" i="6"/>
  <c r="D4" i="7"/>
  <c r="H4" i="6"/>
  <c r="D7" i="8"/>
  <c r="H7" i="7"/>
  <c r="D10"/>
  <c r="H10" i="6"/>
  <c r="H14" i="7"/>
  <c r="D14" i="8"/>
  <c r="H21" i="6"/>
  <c r="D21" i="7"/>
  <c r="H8" i="6"/>
  <c r="D8" i="7"/>
  <c r="D5" i="8"/>
  <c r="H5" i="7"/>
  <c r="D6"/>
  <c r="H6" i="6"/>
  <c r="H13"/>
  <c r="D13" i="7"/>
  <c r="D17"/>
  <c r="H17" i="6"/>
  <c r="D18" i="7"/>
  <c r="H18" i="6"/>
  <c r="D9" i="7"/>
  <c r="H9" i="6"/>
  <c r="H11"/>
  <c r="H28" s="1"/>
  <c r="D11" i="7"/>
  <c r="D28" s="1"/>
  <c r="D15" i="12"/>
  <c r="L4" i="8"/>
  <c r="L3" i="9"/>
  <c r="L23" i="8"/>
  <c r="J23"/>
  <c r="J3" i="9"/>
  <c r="J4" i="10"/>
  <c r="J30" s="1"/>
  <c r="F16" i="11"/>
  <c r="H16" i="9"/>
  <c r="F3" i="8"/>
  <c r="F15" i="9"/>
  <c r="H15" i="8"/>
  <c r="D9"/>
  <c r="H9" i="7"/>
  <c r="D18" i="8"/>
  <c r="H18" i="7"/>
  <c r="H17"/>
  <c r="D17" i="8"/>
  <c r="D6"/>
  <c r="H6" i="7"/>
  <c r="D5" i="9"/>
  <c r="H5" i="8"/>
  <c r="D10"/>
  <c r="H10" i="7"/>
  <c r="D7" i="9"/>
  <c r="H7" i="8"/>
  <c r="D4"/>
  <c r="H4" i="7"/>
  <c r="D16" i="12"/>
  <c r="H12" i="9"/>
  <c r="D12" i="11"/>
  <c r="D15" i="13"/>
  <c r="H11" i="7"/>
  <c r="D11" i="8"/>
  <c r="D13"/>
  <c r="H13" i="7"/>
  <c r="D8" i="8"/>
  <c r="H8" i="7"/>
  <c r="D21" i="8"/>
  <c r="H21" i="7"/>
  <c r="D14" i="9"/>
  <c r="H14" i="8"/>
  <c r="H3" i="7"/>
  <c r="H25" s="1"/>
  <c r="D3" i="8"/>
  <c r="D19" i="9"/>
  <c r="H19" i="8"/>
  <c r="H20"/>
  <c r="D20" i="9"/>
  <c r="L3" i="11"/>
  <c r="L4" i="9"/>
  <c r="M4" i="8"/>
  <c r="J4" i="12"/>
  <c r="J30" s="1"/>
  <c r="J3" i="11"/>
  <c r="J23" i="9"/>
  <c r="F15" i="11"/>
  <c r="H15" i="9"/>
  <c r="F3"/>
  <c r="F16" i="10"/>
  <c r="H16" i="11"/>
  <c r="D19"/>
  <c r="H19" i="9"/>
  <c r="H11" i="8"/>
  <c r="D11" i="9"/>
  <c r="D12" i="10"/>
  <c r="H12" i="11"/>
  <c r="H17" i="8"/>
  <c r="D17" i="9"/>
  <c r="D20" i="11"/>
  <c r="H20" i="9"/>
  <c r="D3"/>
  <c r="H3" i="8"/>
  <c r="H14" i="9"/>
  <c r="D14" i="11"/>
  <c r="H21" i="8"/>
  <c r="D21" i="9"/>
  <c r="D8"/>
  <c r="H8" i="8"/>
  <c r="D13" i="9"/>
  <c r="H13" i="8"/>
  <c r="D16" i="13"/>
  <c r="H4" i="8"/>
  <c r="D4" i="9"/>
  <c r="D7" i="11"/>
  <c r="H7" i="9"/>
  <c r="H10" i="8"/>
  <c r="H29" s="1"/>
  <c r="D10" i="9"/>
  <c r="D29" s="1"/>
  <c r="H5"/>
  <c r="D5" i="11"/>
  <c r="H6" i="8"/>
  <c r="D6" i="9"/>
  <c r="H18" i="8"/>
  <c r="D18" i="9"/>
  <c r="H9" i="8"/>
  <c r="D9" i="9"/>
  <c r="L4" i="11"/>
  <c r="M4" i="9"/>
  <c r="L23"/>
  <c r="L3" i="10"/>
  <c r="L23" i="11"/>
  <c r="J23"/>
  <c r="J3" i="10"/>
  <c r="J4" i="13"/>
  <c r="J30" s="1"/>
  <c r="F16" i="12"/>
  <c r="H16" i="10"/>
  <c r="F3" i="11"/>
  <c r="F25" s="1"/>
  <c r="F15" i="10"/>
  <c r="H15" i="11"/>
  <c r="D7" i="10"/>
  <c r="H7" i="11"/>
  <c r="H13" i="9"/>
  <c r="D13" i="11"/>
  <c r="D8"/>
  <c r="H8" i="9"/>
  <c r="H17"/>
  <c r="D17" i="11"/>
  <c r="D11"/>
  <c r="H11" i="9"/>
  <c r="D9" i="11"/>
  <c r="H9" i="9"/>
  <c r="D18" i="11"/>
  <c r="H18" i="9"/>
  <c r="D6" i="11"/>
  <c r="H6" i="9"/>
  <c r="D5" i="10"/>
  <c r="H5" i="11"/>
  <c r="D10"/>
  <c r="H10" i="9"/>
  <c r="D4" i="11"/>
  <c r="H4" i="9"/>
  <c r="D21" i="11"/>
  <c r="H21" i="9"/>
  <c r="H14" i="11"/>
  <c r="D14" i="10"/>
  <c r="D3" i="11"/>
  <c r="D25" s="1"/>
  <c r="H3" i="9"/>
  <c r="D20" i="10"/>
  <c r="H20" i="11"/>
  <c r="D12" i="12"/>
  <c r="H12" i="10"/>
  <c r="D19"/>
  <c r="H19" i="11"/>
  <c r="L3" i="12"/>
  <c r="L4" i="10"/>
  <c r="L23"/>
  <c r="M4" i="11"/>
  <c r="J23" i="10"/>
  <c r="J3" i="12"/>
  <c r="F15"/>
  <c r="H15" i="10"/>
  <c r="F3"/>
  <c r="F16" i="13"/>
  <c r="H16"/>
  <c r="H16" i="12"/>
  <c r="D19"/>
  <c r="H19" i="10"/>
  <c r="D12" i="13"/>
  <c r="H12"/>
  <c r="H12" i="12"/>
  <c r="H20" i="10"/>
  <c r="D20" i="12"/>
  <c r="H14" i="10"/>
  <c r="D14" i="12"/>
  <c r="D17" i="10"/>
  <c r="H17" i="11"/>
  <c r="D13" i="10"/>
  <c r="H13" i="11"/>
  <c r="D3" i="10"/>
  <c r="H3" i="11"/>
  <c r="D21" i="10"/>
  <c r="H21" i="11"/>
  <c r="D4" i="10"/>
  <c r="H4" i="11"/>
  <c r="D10" i="10"/>
  <c r="D29" s="1"/>
  <c r="H10" i="11"/>
  <c r="H29" s="1"/>
  <c r="H5" i="10"/>
  <c r="D5" i="12"/>
  <c r="H6" i="11"/>
  <c r="D6" i="10"/>
  <c r="H18" i="11"/>
  <c r="D18" i="10"/>
  <c r="D9"/>
  <c r="H9" i="11"/>
  <c r="H11"/>
  <c r="H28" s="1"/>
  <c r="D11" i="10"/>
  <c r="D28" s="1"/>
  <c r="D8"/>
  <c r="H8" i="11"/>
  <c r="D7" i="12"/>
  <c r="H7" i="10"/>
  <c r="L4" i="12"/>
  <c r="M4" i="10"/>
  <c r="L3" i="13"/>
  <c r="L23" i="12"/>
  <c r="J3" i="13"/>
  <c r="F3" i="12"/>
  <c r="F15" i="13"/>
  <c r="H15"/>
  <c r="H15" i="12"/>
  <c r="D7" i="13"/>
  <c r="H7"/>
  <c r="H7" i="12"/>
  <c r="H8" i="10"/>
  <c r="D8" i="12"/>
  <c r="D9"/>
  <c r="H9" i="10"/>
  <c r="D10" i="12"/>
  <c r="H10" i="10"/>
  <c r="D4" i="12"/>
  <c r="H4" i="10"/>
  <c r="D21" i="12"/>
  <c r="H21" i="10"/>
  <c r="H3"/>
  <c r="D3" i="12"/>
  <c r="D14" i="13"/>
  <c r="H14"/>
  <c r="H14" i="12"/>
  <c r="H20"/>
  <c r="D20" i="13"/>
  <c r="H20"/>
  <c r="H11" i="10"/>
  <c r="D11" i="12"/>
  <c r="H18" i="10"/>
  <c r="D18" i="12"/>
  <c r="D6"/>
  <c r="H6" i="10"/>
  <c r="D5" i="13"/>
  <c r="H5"/>
  <c r="H5" i="12"/>
  <c r="D13"/>
  <c r="H13" i="10"/>
  <c r="D17" i="12"/>
  <c r="H17" i="10"/>
  <c r="D19" i="13"/>
  <c r="H19"/>
  <c r="H19" i="12"/>
  <c r="L4" i="13"/>
  <c r="M4"/>
  <c r="M4" i="12"/>
  <c r="L23" i="13"/>
  <c r="F3"/>
  <c r="F25" s="1"/>
  <c r="D17"/>
  <c r="H17"/>
  <c r="H17" i="12"/>
  <c r="H13"/>
  <c r="D13" i="13"/>
  <c r="H13"/>
  <c r="H6" i="12"/>
  <c r="D6" i="13"/>
  <c r="H6"/>
  <c r="D8"/>
  <c r="H8"/>
  <c r="H8" i="12"/>
  <c r="D18" i="13"/>
  <c r="H18"/>
  <c r="H18" i="12"/>
  <c r="D11" i="13"/>
  <c r="D28" s="1"/>
  <c r="H11"/>
  <c r="H28" s="1"/>
  <c r="H11" i="12"/>
  <c r="H28" s="1"/>
  <c r="D3" i="13"/>
  <c r="H3" i="12"/>
  <c r="D21" i="13"/>
  <c r="H21"/>
  <c r="H21" i="12"/>
  <c r="D4" i="13"/>
  <c r="H4"/>
  <c r="H4" i="12"/>
  <c r="D10" i="13"/>
  <c r="D29" s="1"/>
  <c r="H10"/>
  <c r="H29" s="1"/>
  <c r="H10" i="12"/>
  <c r="H29" s="1"/>
  <c r="D9" i="13"/>
  <c r="H9"/>
  <c r="H9" i="12"/>
  <c r="H3" i="13"/>
  <c r="H25" s="1"/>
  <c r="G25" l="1"/>
  <c r="G30" i="12"/>
  <c r="G29"/>
  <c r="G28"/>
  <c r="J29"/>
  <c r="J29" i="10"/>
  <c r="J29" i="11"/>
  <c r="J29" i="9"/>
  <c r="J29" i="8"/>
  <c r="J29" i="7"/>
  <c r="J29" i="6"/>
  <c r="J31" i="5"/>
  <c r="G29" i="10"/>
  <c r="G28"/>
  <c r="G30"/>
  <c r="J11" i="12"/>
  <c r="J28" s="1"/>
  <c r="J28" i="10"/>
  <c r="F29" i="12"/>
  <c r="F29" i="10"/>
  <c r="H29"/>
  <c r="D29" i="12"/>
  <c r="D28"/>
  <c r="H28" i="10"/>
  <c r="F28" i="12"/>
  <c r="F28" i="10"/>
  <c r="D25" i="13"/>
  <c r="J28" i="7"/>
  <c r="G29" i="11"/>
  <c r="G28"/>
  <c r="G30"/>
  <c r="G29" i="9"/>
  <c r="G28"/>
  <c r="G30"/>
  <c r="J28" i="11"/>
  <c r="J28" i="9"/>
  <c r="J28" i="8"/>
  <c r="F29" i="11"/>
  <c r="F29" i="9"/>
  <c r="F29" i="8"/>
  <c r="H29" i="9"/>
  <c r="D29" i="11"/>
  <c r="D29" i="8"/>
  <c r="G29"/>
  <c r="H28" i="9"/>
  <c r="D28" i="11"/>
  <c r="D28" i="9"/>
  <c r="D28" i="8"/>
  <c r="H28"/>
  <c r="F28" i="11"/>
  <c r="F28" i="9"/>
  <c r="F28" i="8"/>
  <c r="G28"/>
  <c r="G30"/>
  <c r="F29" i="7"/>
  <c r="H29"/>
  <c r="D29"/>
  <c r="G29"/>
  <c r="H28"/>
  <c r="F28"/>
  <c r="G28"/>
  <c r="G30"/>
  <c r="J28" i="6"/>
  <c r="F29"/>
  <c r="H29"/>
  <c r="G29"/>
  <c r="D28"/>
  <c r="F28"/>
  <c r="G28"/>
  <c r="G30"/>
  <c r="J30" i="5"/>
  <c r="F31"/>
  <c r="D31"/>
  <c r="G31"/>
  <c r="H30"/>
  <c r="F30"/>
  <c r="G30"/>
  <c r="G32"/>
  <c r="G28" i="4"/>
  <c r="G29"/>
  <c r="G30"/>
  <c r="G29" i="13"/>
  <c r="J28" i="4"/>
  <c r="J28" i="3"/>
  <c r="J29" i="4"/>
  <c r="J29" i="3"/>
  <c r="J30"/>
  <c r="J29" i="2"/>
  <c r="J30"/>
  <c r="J23" i="12"/>
  <c r="J11" i="13"/>
  <c r="J23" s="1"/>
  <c r="D29" i="3"/>
  <c r="H29" i="4"/>
  <c r="G29" i="3"/>
  <c r="F29" i="4"/>
  <c r="F29" i="3"/>
  <c r="D30"/>
  <c r="D28" i="4"/>
  <c r="H28" i="3"/>
  <c r="F28" i="4"/>
  <c r="F28" i="3"/>
  <c r="G28"/>
  <c r="D28"/>
  <c r="F30" i="4"/>
  <c r="F30" i="3"/>
  <c r="G30"/>
  <c r="J28" i="2"/>
  <c r="F29"/>
  <c r="H29"/>
  <c r="D29"/>
  <c r="F28"/>
  <c r="H28"/>
  <c r="G28"/>
  <c r="D28"/>
  <c r="F30"/>
  <c r="H30"/>
  <c r="G30"/>
  <c r="D30"/>
  <c r="F28" i="13"/>
  <c r="F29"/>
  <c r="J29"/>
  <c r="G28"/>
  <c r="G30"/>
  <c r="F24" i="5"/>
  <c r="F32" s="1"/>
  <c r="F23" i="4"/>
  <c r="D32" i="5"/>
  <c r="H22" i="4"/>
  <c r="H23" s="1"/>
  <c r="D23"/>
  <c r="G25" i="11"/>
  <c r="G25" i="7"/>
  <c r="G25" i="4"/>
  <c r="D25" i="7"/>
  <c r="D25" i="4"/>
  <c r="H25" i="11"/>
  <c r="H25" i="4"/>
  <c r="J28" i="13" l="1"/>
  <c r="H30" i="4"/>
  <c r="F22" i="6"/>
  <c r="F30" s="1"/>
  <c r="F25" i="5"/>
  <c r="D22" i="6"/>
  <c r="D30" s="1"/>
  <c r="H24" i="5"/>
  <c r="D25"/>
  <c r="H25" l="1"/>
  <c r="H32"/>
  <c r="F22" i="7"/>
  <c r="F30" s="1"/>
  <c r="F23" i="6"/>
  <c r="D22" i="7"/>
  <c r="D30" s="1"/>
  <c r="H22" i="6"/>
  <c r="D23"/>
  <c r="H23" l="1"/>
  <c r="H30"/>
  <c r="F22" i="8"/>
  <c r="F30" s="1"/>
  <c r="F23" i="7"/>
  <c r="D22" i="8"/>
  <c r="D30" s="1"/>
  <c r="H22" i="7"/>
  <c r="D23"/>
  <c r="H23" l="1"/>
  <c r="H30"/>
  <c r="F22" i="9"/>
  <c r="F30" s="1"/>
  <c r="F23" i="8"/>
  <c r="H22"/>
  <c r="D22" i="9"/>
  <c r="D30" s="1"/>
  <c r="D23" i="8"/>
  <c r="H23" l="1"/>
  <c r="H30"/>
  <c r="F22" i="11"/>
  <c r="F30" s="1"/>
  <c r="F23" i="9"/>
  <c r="D22" i="11"/>
  <c r="D30" s="1"/>
  <c r="H22" i="9"/>
  <c r="D23"/>
  <c r="H23" l="1"/>
  <c r="H30"/>
  <c r="F22" i="10"/>
  <c r="F30" s="1"/>
  <c r="F23" i="11"/>
  <c r="D22" i="10"/>
  <c r="D30" s="1"/>
  <c r="H22" i="11"/>
  <c r="D23"/>
  <c r="H23" l="1"/>
  <c r="H30"/>
  <c r="F22" i="12"/>
  <c r="F30" s="1"/>
  <c r="F23" i="10"/>
  <c r="D22" i="12"/>
  <c r="D30" s="1"/>
  <c r="H22" i="10"/>
  <c r="D23"/>
  <c r="H23" l="1"/>
  <c r="H30"/>
  <c r="F22" i="13"/>
  <c r="F23" i="12"/>
  <c r="D22" i="13"/>
  <c r="D30" s="1"/>
  <c r="H22" i="12"/>
  <c r="D23"/>
  <c r="H23" l="1"/>
  <c r="H30"/>
  <c r="F23" i="13"/>
  <c r="F30"/>
  <c r="H22"/>
  <c r="D23"/>
  <c r="H23" l="1"/>
  <c r="H30"/>
</calcChain>
</file>

<file path=xl/sharedStrings.xml><?xml version="1.0" encoding="utf-8"?>
<sst xmlns="http://schemas.openxmlformats.org/spreadsheetml/2006/main" count="244" uniqueCount="45">
  <si>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</si>
  <si>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</si>
  <si>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</si>
  <si>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</si>
  <si>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</si>
  <si>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</si>
  <si>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</si>
  <si>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</si>
  <si>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</si>
  <si>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</si>
  <si>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</si>
  <si>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</si>
  <si>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</si>
  <si>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</si>
  <si>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</si>
  <si>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</si>
  <si>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Холодная вода</t>
  </si>
  <si>
    <t>Управление многокварт.домом</t>
  </si>
  <si>
    <t>Художников д.22 к.2</t>
  </si>
  <si>
    <t>Художников 22 к.2</t>
  </si>
  <si>
    <t>Содержание общ.имущ.дома</t>
  </si>
  <si>
    <t>Сод.и ремонт АППЗ</t>
  </si>
  <si>
    <t>Сод.и ремонт лифтов</t>
  </si>
  <si>
    <t>Очистка мусоропроводов</t>
  </si>
  <si>
    <t>Уборка и сан.очистка зем.уч.</t>
  </si>
  <si>
    <t>Электроснабжение(инд.потр)</t>
  </si>
  <si>
    <t>Канализирование х.воды</t>
  </si>
  <si>
    <t>Канализирование г.воды</t>
  </si>
  <si>
    <t>Тек.ремонт общ.имущ.дома</t>
  </si>
  <si>
    <t>Водоотведение (кв)</t>
  </si>
  <si>
    <t>Эксплуатация общедомовых ПУ</t>
  </si>
  <si>
    <t>Хол.водоснабжение(о/д нужды)</t>
  </si>
  <si>
    <t>Водоотведение(о/д нужды)</t>
  </si>
  <si>
    <t>Отопление (о/д нужды)</t>
  </si>
  <si>
    <t>Электроснабжение(оющед.нужд)</t>
  </si>
  <si>
    <t>Горячее водоснабжение(о/д нужды)</t>
  </si>
  <si>
    <t>Форма 22</t>
  </si>
  <si>
    <t>Горячее водоснабжение (о/д)</t>
  </si>
  <si>
    <t>водоканал</t>
  </si>
  <si>
    <t>ПСК</t>
  </si>
  <si>
    <t>ГУПТЭК</t>
  </si>
  <si>
    <t>Художников 22 к2 сентябрь</t>
  </si>
  <si>
    <t>Художников 22 к2 Октябрь</t>
  </si>
  <si>
    <t>Художников 22 к2    Ноябрь</t>
  </si>
  <si>
    <t>Художников 22 к2    Декабрь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</si>
</sst>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_ ;[Red]\-0.00\ "/>
    <numFmt numFmtId="165" formatCode="#,##0.00_ ;\-#,##0.00\ 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2" fillId="2" borderId="1" xfId="0" applyFont="1" applyFill="1" applyBorder="1" applyAlignment="1">
      <alignment horizontal="center" wrapText="1" shrinkToFit="1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wrapText="1" shrinkToFit="1"/>
    </xf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0" fillId="0" borderId="0" xfId="0" applyNumberFormat="1"/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3" fillId="0" borderId="0" xfId="0" applyFont="1"/>
    <xf numFmtId="0" fontId="3" fillId="0" borderId="1" xfId="0" applyFont="1" applyBorder="1" applyAlignment="1">
      <alignment horizontal="center" wrapText="1" shrinkToFit="1"/>
    </xf>
    <xf numFmtId="2" fontId="3" fillId="2" borderId="1" xfId="0" applyNumberFormat="1" applyFont="1" applyFill="1" applyBorder="1" applyAlignment="1">
      <alignment horizontal="center" shrinkToFit="1"/>
    </xf>
    <xf numFmtId="0" fontId="4" fillId="0" borderId="0" xfId="0" applyFont="1"/>
    <xf numFmtId="0" fontId="4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 shrinkToFit="1"/>
    </xf>
    <xf numFmtId="49" fontId="5" fillId="0" borderId="1" xfId="0" applyNumberFormat="1" applyFont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wrapText="1" shrinkToFit="1"/>
    </xf>
    <xf numFmtId="0" fontId="5" fillId="2" borderId="1" xfId="0" applyFont="1" applyFill="1" applyBorder="1" applyAlignment="1">
      <alignment wrapText="1" shrinkToFit="1"/>
    </xf>
    <xf numFmtId="0" fontId="5" fillId="0" borderId="0" xfId="0" applyFont="1" applyAlignment="1">
      <alignment wrapText="1"/>
    </xf>
    <xf numFmtId="0" fontId="5" fillId="0" borderId="1" xfId="0" applyFont="1" applyBorder="1"/>
    <xf numFmtId="2" fontId="5" fillId="2" borderId="1" xfId="0" applyNumberFormat="1" applyFont="1" applyFill="1" applyBorder="1" applyAlignment="1">
      <alignment horizontal="left" vertical="center" wrapText="1" shrinkToFit="1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 shrinkToFit="1"/>
    </xf>
    <xf numFmtId="0" fontId="6" fillId="0" borderId="0" xfId="0" applyFont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7" fillId="0" borderId="0" xfId="0" applyFont="1"/>
    <xf numFmtId="2" fontId="4" fillId="2" borderId="1" xfId="0" applyNumberFormat="1" applyFont="1" applyFill="1" applyBorder="1" applyAlignment="1">
      <alignment horizontal="left" vertical="center" wrapText="1" shrinkToFit="1"/>
    </xf>
    <xf numFmtId="165" fontId="0" fillId="0" borderId="1" xfId="0" applyNumberFormat="1" applyBorder="1"/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43" fontId="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E14" sqref="E14"/>
    </sheetView>
  </sheetViews>
  <sheetFormatPr defaultRowHeight="12.75"/>
  <cols>
    <col min="1" max="1" width="3.5703125" customWidth="1"/>
    <col min="2" max="2" width="29.5703125" customWidth="1"/>
    <col min="3" max="4" width="10.42578125" customWidth="1"/>
    <col min="5" max="5" width="10.28515625" customWidth="1"/>
    <col min="6" max="6" width="10.85546875" customWidth="1"/>
    <col min="7" max="7" width="11.5703125" customWidth="1"/>
    <col min="8" max="9" width="11.140625" customWidth="1"/>
    <col min="10" max="10" width="10.85546875" customWidth="1"/>
    <col min="11" max="11" width="10.140625" bestFit="1" customWidth="1"/>
    <col min="12" max="12" width="11" customWidth="1"/>
    <col min="13" max="13" width="10.7109375" bestFit="1" customWidth="1"/>
    <col min="14" max="14" width="10.140625" bestFit="1" customWidth="1"/>
  </cols>
  <sheetData>
    <row r="1" spans="1:14">
      <c r="E1" s="11"/>
      <c r="F1" s="12" t="s">
        <v>18</v>
      </c>
      <c r="G1" s="12"/>
    </row>
    <row r="2" spans="1:14" s="32" customFormat="1" ht="38.25">
      <c r="A2" s="3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4">
      <c r="A3" s="1">
        <v>1</v>
      </c>
      <c r="B3" s="34" t="s">
        <v>20</v>
      </c>
      <c r="C3" s="8">
        <v>65710.679999999993</v>
      </c>
      <c r="D3" s="33">
        <f>C3</f>
        <v>65710.679999999993</v>
      </c>
      <c r="E3" s="9">
        <v>50675.8</v>
      </c>
      <c r="F3" s="33">
        <f>E3</f>
        <v>50675.8</v>
      </c>
      <c r="G3" s="18">
        <f>E3-C3</f>
        <v>-15034.87999999999</v>
      </c>
      <c r="H3" s="20">
        <f>F3-D3</f>
        <v>-15034.87999999999</v>
      </c>
      <c r="I3" s="9"/>
      <c r="J3" s="20">
        <f>I3</f>
        <v>0</v>
      </c>
      <c r="K3" s="8"/>
      <c r="L3" s="33">
        <f>K3</f>
        <v>0</v>
      </c>
    </row>
    <row r="4" spans="1:14">
      <c r="A4" s="1">
        <f>A3+1</f>
        <v>2</v>
      </c>
      <c r="B4" s="34" t="s">
        <v>13</v>
      </c>
      <c r="C4" s="8">
        <v>275826.56</v>
      </c>
      <c r="D4" s="33">
        <f t="shared" ref="D4:D22" si="0">C4</f>
        <v>275826.56</v>
      </c>
      <c r="E4" s="9">
        <v>177650.2</v>
      </c>
      <c r="F4" s="33">
        <f t="shared" ref="F4:F22" si="1">E4</f>
        <v>177650.2</v>
      </c>
      <c r="G4" s="18">
        <f t="shared" ref="G4:G22" si="2">E4-C4</f>
        <v>-98176.359999999986</v>
      </c>
      <c r="H4" s="20">
        <f t="shared" ref="H4:H22" si="3">F4-D4</f>
        <v>-98176.359999999986</v>
      </c>
      <c r="I4" s="9"/>
      <c r="J4" s="20">
        <f t="shared" ref="J4:J22" si="4">I4</f>
        <v>0</v>
      </c>
      <c r="K4" s="8"/>
      <c r="L4" s="33">
        <f t="shared" ref="L4:L22" si="5">K4</f>
        <v>0</v>
      </c>
      <c r="M4" s="25">
        <f>K4-I4</f>
        <v>0</v>
      </c>
      <c r="N4" s="25"/>
    </row>
    <row r="5" spans="1:14">
      <c r="A5" s="1">
        <f t="shared" ref="A5:A22" si="6">A4+1</f>
        <v>3</v>
      </c>
      <c r="B5" s="34" t="s">
        <v>15</v>
      </c>
      <c r="C5" s="8">
        <v>135598.88</v>
      </c>
      <c r="D5" s="33">
        <f t="shared" si="0"/>
        <v>135598.88</v>
      </c>
      <c r="E5" s="9">
        <v>97904.87</v>
      </c>
      <c r="F5" s="33">
        <f t="shared" si="1"/>
        <v>97904.87</v>
      </c>
      <c r="G5" s="18">
        <f t="shared" si="2"/>
        <v>-37694.010000000009</v>
      </c>
      <c r="H5" s="20">
        <f t="shared" si="3"/>
        <v>-37694.010000000009</v>
      </c>
      <c r="I5" s="9"/>
      <c r="J5" s="20">
        <f t="shared" si="4"/>
        <v>0</v>
      </c>
      <c r="K5" s="8"/>
      <c r="L5" s="33">
        <f t="shared" si="5"/>
        <v>0</v>
      </c>
    </row>
    <row r="6" spans="1:14">
      <c r="A6" s="1">
        <f t="shared" si="6"/>
        <v>4</v>
      </c>
      <c r="B6" s="34" t="s">
        <v>21</v>
      </c>
      <c r="C6" s="8">
        <v>2613.63</v>
      </c>
      <c r="D6" s="33">
        <f t="shared" si="0"/>
        <v>2613.63</v>
      </c>
      <c r="E6" s="9">
        <v>2075</v>
      </c>
      <c r="F6" s="33">
        <f t="shared" si="1"/>
        <v>2075</v>
      </c>
      <c r="G6" s="18">
        <f t="shared" si="2"/>
        <v>-538.63000000000011</v>
      </c>
      <c r="H6" s="20">
        <f t="shared" si="3"/>
        <v>-538.63000000000011</v>
      </c>
      <c r="I6" s="9"/>
      <c r="J6" s="20">
        <f t="shared" si="4"/>
        <v>0</v>
      </c>
      <c r="K6" s="8"/>
      <c r="L6" s="33">
        <f t="shared" si="5"/>
        <v>0</v>
      </c>
    </row>
    <row r="7" spans="1:14">
      <c r="A7" s="1">
        <f t="shared" si="6"/>
        <v>5</v>
      </c>
      <c r="B7" s="35" t="s">
        <v>22</v>
      </c>
      <c r="C7" s="8">
        <v>18830.05</v>
      </c>
      <c r="D7" s="33">
        <f t="shared" si="0"/>
        <v>18830.05</v>
      </c>
      <c r="E7" s="9">
        <v>14953.04</v>
      </c>
      <c r="F7" s="33">
        <f t="shared" si="1"/>
        <v>14953.04</v>
      </c>
      <c r="G7" s="18">
        <f t="shared" si="2"/>
        <v>-3877.0099999999984</v>
      </c>
      <c r="H7" s="20">
        <f t="shared" si="3"/>
        <v>-3877.0099999999984</v>
      </c>
      <c r="I7" s="9"/>
      <c r="J7" s="20">
        <f t="shared" si="4"/>
        <v>0</v>
      </c>
      <c r="K7" s="8"/>
      <c r="L7" s="33">
        <f t="shared" si="5"/>
        <v>0</v>
      </c>
    </row>
    <row r="8" spans="1:14">
      <c r="A8" s="1">
        <f t="shared" si="6"/>
        <v>6</v>
      </c>
      <c r="B8" s="34" t="s">
        <v>23</v>
      </c>
      <c r="C8" s="8">
        <v>8043.43</v>
      </c>
      <c r="D8" s="33">
        <f t="shared" si="0"/>
        <v>8043.43</v>
      </c>
      <c r="E8" s="9">
        <v>6344.04</v>
      </c>
      <c r="F8" s="33">
        <f t="shared" si="1"/>
        <v>6344.04</v>
      </c>
      <c r="G8" s="18">
        <f t="shared" si="2"/>
        <v>-1699.3900000000003</v>
      </c>
      <c r="H8" s="20">
        <f t="shared" si="3"/>
        <v>-1699.3900000000003</v>
      </c>
      <c r="I8" s="9"/>
      <c r="J8" s="20">
        <f t="shared" si="4"/>
        <v>0</v>
      </c>
      <c r="K8" s="8"/>
      <c r="L8" s="33">
        <f t="shared" si="5"/>
        <v>0</v>
      </c>
    </row>
    <row r="9" spans="1:14">
      <c r="A9" s="1">
        <f t="shared" si="6"/>
        <v>7</v>
      </c>
      <c r="B9" s="34" t="s">
        <v>24</v>
      </c>
      <c r="C9" s="8">
        <v>9028.91</v>
      </c>
      <c r="D9" s="33">
        <f t="shared" si="0"/>
        <v>9028.91</v>
      </c>
      <c r="E9" s="9">
        <v>7167.62</v>
      </c>
      <c r="F9" s="33">
        <f t="shared" si="1"/>
        <v>7167.62</v>
      </c>
      <c r="G9" s="18">
        <f t="shared" si="2"/>
        <v>-1861.29</v>
      </c>
      <c r="H9" s="20">
        <f t="shared" si="3"/>
        <v>-1861.29</v>
      </c>
      <c r="I9" s="9"/>
      <c r="J9" s="20">
        <f t="shared" si="4"/>
        <v>0</v>
      </c>
      <c r="K9" s="8"/>
      <c r="L9" s="33">
        <f t="shared" si="5"/>
        <v>0</v>
      </c>
    </row>
    <row r="10" spans="1:14">
      <c r="A10" s="1">
        <f t="shared" si="6"/>
        <v>8</v>
      </c>
      <c r="B10" s="34" t="s">
        <v>25</v>
      </c>
      <c r="C10" s="8">
        <v>85202.83</v>
      </c>
      <c r="D10" s="33">
        <f t="shared" si="0"/>
        <v>85202.83</v>
      </c>
      <c r="E10" s="9">
        <v>65009.99</v>
      </c>
      <c r="F10" s="33">
        <f t="shared" si="1"/>
        <v>65009.99</v>
      </c>
      <c r="G10" s="18">
        <f t="shared" si="2"/>
        <v>-20192.840000000004</v>
      </c>
      <c r="H10" s="20">
        <f t="shared" si="3"/>
        <v>-20192.840000000004</v>
      </c>
      <c r="I10" s="9"/>
      <c r="J10" s="20">
        <f t="shared" si="4"/>
        <v>0</v>
      </c>
      <c r="K10" s="8"/>
      <c r="L10" s="33">
        <f t="shared" si="5"/>
        <v>0</v>
      </c>
    </row>
    <row r="11" spans="1:14">
      <c r="A11" s="1">
        <f t="shared" si="6"/>
        <v>9</v>
      </c>
      <c r="B11" s="34" t="s">
        <v>16</v>
      </c>
      <c r="C11" s="8">
        <v>49205.93</v>
      </c>
      <c r="D11" s="33">
        <f t="shared" si="0"/>
        <v>49205.93</v>
      </c>
      <c r="E11" s="9">
        <v>37490.97</v>
      </c>
      <c r="F11" s="33">
        <f t="shared" si="1"/>
        <v>37490.97</v>
      </c>
      <c r="G11" s="18">
        <f t="shared" si="2"/>
        <v>-11714.96</v>
      </c>
      <c r="H11" s="20">
        <f t="shared" si="3"/>
        <v>-11714.96</v>
      </c>
      <c r="I11" s="9"/>
      <c r="J11" s="20">
        <f t="shared" si="4"/>
        <v>0</v>
      </c>
      <c r="K11" s="8"/>
      <c r="L11" s="33">
        <f t="shared" si="5"/>
        <v>0</v>
      </c>
    </row>
    <row r="12" spans="1:14">
      <c r="A12" s="1">
        <f t="shared" si="6"/>
        <v>10</v>
      </c>
      <c r="B12" s="34" t="s">
        <v>26</v>
      </c>
      <c r="C12" s="8">
        <v>0</v>
      </c>
      <c r="D12" s="33">
        <f t="shared" si="0"/>
        <v>0</v>
      </c>
      <c r="E12" s="9">
        <v>0</v>
      </c>
      <c r="F12" s="33">
        <f t="shared" si="1"/>
        <v>0</v>
      </c>
      <c r="G12" s="18">
        <f t="shared" si="2"/>
        <v>0</v>
      </c>
      <c r="H12" s="20">
        <f t="shared" si="3"/>
        <v>0</v>
      </c>
      <c r="I12" s="9"/>
      <c r="J12" s="20">
        <f t="shared" si="4"/>
        <v>0</v>
      </c>
      <c r="K12" s="8"/>
      <c r="L12" s="33">
        <f t="shared" si="5"/>
        <v>0</v>
      </c>
    </row>
    <row r="13" spans="1:14">
      <c r="A13" s="1">
        <f t="shared" si="6"/>
        <v>11</v>
      </c>
      <c r="B13" s="34" t="s">
        <v>27</v>
      </c>
      <c r="C13" s="8">
        <v>0</v>
      </c>
      <c r="D13" s="33">
        <f t="shared" si="0"/>
        <v>0</v>
      </c>
      <c r="E13" s="9">
        <v>0</v>
      </c>
      <c r="F13" s="33">
        <f t="shared" si="1"/>
        <v>0</v>
      </c>
      <c r="G13" s="18">
        <f t="shared" si="2"/>
        <v>0</v>
      </c>
      <c r="H13" s="20">
        <f t="shared" si="3"/>
        <v>0</v>
      </c>
      <c r="I13" s="9"/>
      <c r="J13" s="20">
        <f t="shared" si="4"/>
        <v>0</v>
      </c>
      <c r="K13" s="8"/>
      <c r="L13" s="33">
        <f t="shared" si="5"/>
        <v>0</v>
      </c>
    </row>
    <row r="14" spans="1:14">
      <c r="A14" s="1">
        <f t="shared" si="6"/>
        <v>12</v>
      </c>
      <c r="B14" s="34" t="s">
        <v>28</v>
      </c>
      <c r="C14" s="8">
        <v>34690.11</v>
      </c>
      <c r="D14" s="33">
        <f t="shared" si="0"/>
        <v>34690.11</v>
      </c>
      <c r="E14" s="9">
        <v>27777.97</v>
      </c>
      <c r="F14" s="33">
        <f t="shared" si="1"/>
        <v>27777.97</v>
      </c>
      <c r="G14" s="18">
        <f t="shared" si="2"/>
        <v>-6912.1399999999994</v>
      </c>
      <c r="H14" s="20">
        <f t="shared" si="3"/>
        <v>-6912.1399999999994</v>
      </c>
      <c r="I14" s="9"/>
      <c r="J14" s="20">
        <f t="shared" si="4"/>
        <v>0</v>
      </c>
      <c r="K14" s="8"/>
      <c r="L14" s="33">
        <f t="shared" si="5"/>
        <v>0</v>
      </c>
    </row>
    <row r="15" spans="1:14">
      <c r="A15" s="1">
        <f t="shared" si="6"/>
        <v>13</v>
      </c>
      <c r="B15" s="34" t="s">
        <v>17</v>
      </c>
      <c r="C15" s="8">
        <v>13602.8</v>
      </c>
      <c r="D15" s="33">
        <f t="shared" si="0"/>
        <v>13602.8</v>
      </c>
      <c r="E15" s="9">
        <v>10712.32</v>
      </c>
      <c r="F15" s="33">
        <f t="shared" si="1"/>
        <v>10712.32</v>
      </c>
      <c r="G15" s="18">
        <f t="shared" si="2"/>
        <v>-2890.4799999999996</v>
      </c>
      <c r="H15" s="20">
        <f t="shared" si="3"/>
        <v>-2890.4799999999996</v>
      </c>
      <c r="I15" s="9"/>
      <c r="J15" s="20">
        <f t="shared" si="4"/>
        <v>0</v>
      </c>
      <c r="K15" s="8"/>
      <c r="L15" s="33">
        <f t="shared" si="5"/>
        <v>0</v>
      </c>
    </row>
    <row r="16" spans="1:14">
      <c r="A16" s="1">
        <f t="shared" si="6"/>
        <v>14</v>
      </c>
      <c r="B16" s="34" t="s">
        <v>29</v>
      </c>
      <c r="C16" s="8">
        <v>84615.82</v>
      </c>
      <c r="D16" s="33">
        <f t="shared" si="0"/>
        <v>84615.82</v>
      </c>
      <c r="E16" s="9">
        <v>64349.7</v>
      </c>
      <c r="F16" s="33">
        <f t="shared" si="1"/>
        <v>64349.7</v>
      </c>
      <c r="G16" s="18">
        <f t="shared" si="2"/>
        <v>-20266.12000000001</v>
      </c>
      <c r="H16" s="20">
        <f t="shared" si="3"/>
        <v>-20266.12000000001</v>
      </c>
      <c r="I16" s="9"/>
      <c r="J16" s="20">
        <f t="shared" si="4"/>
        <v>0</v>
      </c>
      <c r="K16" s="8"/>
      <c r="L16" s="33">
        <f t="shared" si="5"/>
        <v>0</v>
      </c>
    </row>
    <row r="17" spans="1:12">
      <c r="A17" s="1">
        <f t="shared" si="6"/>
        <v>15</v>
      </c>
      <c r="B17" s="34" t="s">
        <v>30</v>
      </c>
      <c r="C17" s="8">
        <v>3682.91</v>
      </c>
      <c r="D17" s="33">
        <f t="shared" si="0"/>
        <v>3682.91</v>
      </c>
      <c r="E17" s="9">
        <v>2925.38</v>
      </c>
      <c r="F17" s="33">
        <f t="shared" si="1"/>
        <v>2925.38</v>
      </c>
      <c r="G17" s="18">
        <f t="shared" si="2"/>
        <v>-757.52999999999975</v>
      </c>
      <c r="H17" s="20">
        <f t="shared" si="3"/>
        <v>-757.52999999999975</v>
      </c>
      <c r="I17" s="9"/>
      <c r="J17" s="20">
        <f t="shared" si="4"/>
        <v>0</v>
      </c>
      <c r="K17" s="8"/>
      <c r="L17" s="33">
        <f t="shared" si="5"/>
        <v>0</v>
      </c>
    </row>
    <row r="18" spans="1:12">
      <c r="A18" s="1">
        <f t="shared" si="6"/>
        <v>16</v>
      </c>
      <c r="B18" s="34" t="s">
        <v>31</v>
      </c>
      <c r="C18" s="8">
        <v>2213.4899999999998</v>
      </c>
      <c r="D18" s="33">
        <f t="shared" si="0"/>
        <v>2213.4899999999998</v>
      </c>
      <c r="E18" s="9">
        <v>941.72</v>
      </c>
      <c r="F18" s="33">
        <f t="shared" si="1"/>
        <v>941.72</v>
      </c>
      <c r="G18" s="18">
        <f t="shared" si="2"/>
        <v>-1271.7699999999998</v>
      </c>
      <c r="H18" s="20">
        <f t="shared" si="3"/>
        <v>-1271.7699999999998</v>
      </c>
      <c r="I18" s="9"/>
      <c r="J18" s="20">
        <f t="shared" si="4"/>
        <v>0</v>
      </c>
      <c r="K18" s="8"/>
      <c r="L18" s="33">
        <f t="shared" si="5"/>
        <v>0</v>
      </c>
    </row>
    <row r="19" spans="1:12">
      <c r="A19" s="1">
        <f t="shared" si="6"/>
        <v>17</v>
      </c>
      <c r="B19" s="34" t="s">
        <v>32</v>
      </c>
      <c r="C19" s="8">
        <v>0</v>
      </c>
      <c r="D19" s="33">
        <f t="shared" si="0"/>
        <v>0</v>
      </c>
      <c r="E19" s="9">
        <v>0</v>
      </c>
      <c r="F19" s="33">
        <f t="shared" si="1"/>
        <v>0</v>
      </c>
      <c r="G19" s="18">
        <f t="shared" si="2"/>
        <v>0</v>
      </c>
      <c r="H19" s="20">
        <f t="shared" si="3"/>
        <v>0</v>
      </c>
      <c r="I19" s="9"/>
      <c r="J19" s="20">
        <f t="shared" si="4"/>
        <v>0</v>
      </c>
      <c r="K19" s="8"/>
      <c r="L19" s="33">
        <f t="shared" si="5"/>
        <v>0</v>
      </c>
    </row>
    <row r="20" spans="1:12">
      <c r="A20" s="1">
        <f t="shared" si="6"/>
        <v>18</v>
      </c>
      <c r="B20" s="34" t="s">
        <v>33</v>
      </c>
      <c r="C20" s="8">
        <v>0</v>
      </c>
      <c r="D20" s="33">
        <f t="shared" si="0"/>
        <v>0</v>
      </c>
      <c r="E20" s="9">
        <v>0</v>
      </c>
      <c r="F20" s="33">
        <f t="shared" si="1"/>
        <v>0</v>
      </c>
      <c r="G20" s="18">
        <f t="shared" si="2"/>
        <v>0</v>
      </c>
      <c r="H20" s="20">
        <f t="shared" si="3"/>
        <v>0</v>
      </c>
      <c r="I20" s="9"/>
      <c r="J20" s="20">
        <f t="shared" si="4"/>
        <v>0</v>
      </c>
      <c r="K20" s="8"/>
      <c r="L20" s="33">
        <f t="shared" si="5"/>
        <v>0</v>
      </c>
    </row>
    <row r="21" spans="1:12">
      <c r="A21" s="1">
        <f t="shared" si="6"/>
        <v>19</v>
      </c>
      <c r="B21" s="34" t="s">
        <v>34</v>
      </c>
      <c r="C21" s="8">
        <v>4317.03</v>
      </c>
      <c r="D21" s="33">
        <f t="shared" si="0"/>
        <v>4317.03</v>
      </c>
      <c r="E21" s="9">
        <v>37203.99</v>
      </c>
      <c r="F21" s="33">
        <f t="shared" si="1"/>
        <v>37203.99</v>
      </c>
      <c r="G21" s="18">
        <f t="shared" si="2"/>
        <v>32886.959999999999</v>
      </c>
      <c r="H21" s="20">
        <f t="shared" si="3"/>
        <v>32886.959999999999</v>
      </c>
      <c r="I21" s="9"/>
      <c r="J21" s="20">
        <f t="shared" si="4"/>
        <v>0</v>
      </c>
      <c r="K21" s="8"/>
      <c r="L21" s="33">
        <f t="shared" si="5"/>
        <v>0</v>
      </c>
    </row>
    <row r="22" spans="1:12">
      <c r="A22" s="1">
        <f t="shared" si="6"/>
        <v>20</v>
      </c>
      <c r="B22" s="34" t="s">
        <v>37</v>
      </c>
      <c r="C22" s="8">
        <v>5122.67</v>
      </c>
      <c r="D22" s="33">
        <f t="shared" si="0"/>
        <v>5122.67</v>
      </c>
      <c r="E22" s="9">
        <v>219.54</v>
      </c>
      <c r="F22" s="33">
        <f t="shared" si="1"/>
        <v>219.54</v>
      </c>
      <c r="G22" s="18">
        <f t="shared" si="2"/>
        <v>-4903.13</v>
      </c>
      <c r="H22" s="20">
        <f t="shared" si="3"/>
        <v>-4903.13</v>
      </c>
      <c r="I22" s="9"/>
      <c r="J22" s="20">
        <f t="shared" si="4"/>
        <v>0</v>
      </c>
      <c r="K22" s="8"/>
      <c r="L22" s="33">
        <f t="shared" si="5"/>
        <v>0</v>
      </c>
    </row>
    <row r="23" spans="1:12">
      <c r="A23" s="22"/>
      <c r="B23" s="21" t="s">
        <v>12</v>
      </c>
      <c r="C23" s="18">
        <f t="shared" ref="C23:L23" si="7">SUM(C3:C22)</f>
        <v>798305.73000000021</v>
      </c>
      <c r="D23" s="18">
        <f t="shared" si="7"/>
        <v>798305.73000000021</v>
      </c>
      <c r="E23" s="20">
        <f t="shared" si="7"/>
        <v>603402.14999999991</v>
      </c>
      <c r="F23" s="18">
        <f t="shared" si="7"/>
        <v>603402.14999999991</v>
      </c>
      <c r="G23" s="18">
        <f t="shared" si="7"/>
        <v>-194903.58000000005</v>
      </c>
      <c r="H23" s="20">
        <f t="shared" si="7"/>
        <v>-194903.58000000005</v>
      </c>
      <c r="I23" s="20">
        <f t="shared" si="7"/>
        <v>0</v>
      </c>
      <c r="J23" s="20">
        <f t="shared" si="7"/>
        <v>0</v>
      </c>
      <c r="K23" s="18">
        <f t="shared" si="7"/>
        <v>0</v>
      </c>
      <c r="L23" s="18">
        <f t="shared" si="7"/>
        <v>0</v>
      </c>
    </row>
    <row r="25" spans="1:12">
      <c r="B25" s="62" t="s">
        <v>36</v>
      </c>
      <c r="C25" s="43">
        <f t="shared" ref="C25:H25" si="8">C3+C6+C7+C8+C9+C14+C15+C17</f>
        <v>156202.51999999999</v>
      </c>
      <c r="D25" s="43">
        <f t="shared" si="8"/>
        <v>156202.51999999999</v>
      </c>
      <c r="E25" s="43">
        <f t="shared" si="8"/>
        <v>122631.16999999998</v>
      </c>
      <c r="F25" s="43">
        <f t="shared" si="8"/>
        <v>122631.16999999998</v>
      </c>
      <c r="G25" s="43">
        <f t="shared" si="8"/>
        <v>-33571.349999999991</v>
      </c>
      <c r="H25" s="43">
        <f t="shared" si="8"/>
        <v>-33571.349999999991</v>
      </c>
      <c r="I25" s="63"/>
      <c r="J25" s="63"/>
    </row>
    <row r="26" spans="1:12" ht="6" customHeight="1">
      <c r="B26" s="63"/>
      <c r="C26" s="63"/>
      <c r="D26" s="63"/>
      <c r="E26" s="63"/>
      <c r="F26" s="63"/>
      <c r="G26" s="63"/>
      <c r="H26" s="63"/>
      <c r="I26" s="63"/>
      <c r="J26" s="63"/>
    </row>
    <row r="27" spans="1:12" hidden="1">
      <c r="B27" s="63"/>
      <c r="C27" s="63"/>
      <c r="D27" s="63"/>
      <c r="E27" s="63"/>
      <c r="F27" s="63"/>
      <c r="G27" s="63"/>
      <c r="H27" s="63"/>
      <c r="I27" s="63"/>
      <c r="J27" s="63"/>
    </row>
    <row r="28" spans="1:12">
      <c r="B28" s="42" t="s">
        <v>38</v>
      </c>
      <c r="C28" s="43">
        <f>C11+C12+C13+C16+C18+C19</f>
        <v>136035.24</v>
      </c>
      <c r="D28" s="43">
        <f t="shared" ref="D28:J28" si="9">D11+D12+D13+D16+D18+D19</f>
        <v>136035.24</v>
      </c>
      <c r="E28" s="43">
        <f t="shared" si="9"/>
        <v>102782.39</v>
      </c>
      <c r="F28" s="43">
        <f t="shared" si="9"/>
        <v>102782.39</v>
      </c>
      <c r="G28" s="43">
        <f t="shared" si="9"/>
        <v>-33252.850000000006</v>
      </c>
      <c r="H28" s="43">
        <f t="shared" si="9"/>
        <v>-33252.850000000006</v>
      </c>
      <c r="I28" s="43">
        <f t="shared" si="9"/>
        <v>0</v>
      </c>
      <c r="J28" s="43">
        <f t="shared" si="9"/>
        <v>0</v>
      </c>
    </row>
    <row r="29" spans="1:12">
      <c r="B29" s="42" t="s">
        <v>39</v>
      </c>
      <c r="C29" s="43">
        <f>C10+C21</f>
        <v>89519.86</v>
      </c>
      <c r="D29" s="43">
        <f t="shared" ref="D29:J29" si="10">D10+D21</f>
        <v>89519.86</v>
      </c>
      <c r="E29" s="43">
        <f t="shared" si="10"/>
        <v>102213.98</v>
      </c>
      <c r="F29" s="43">
        <f t="shared" si="10"/>
        <v>102213.98</v>
      </c>
      <c r="G29" s="43">
        <f t="shared" si="10"/>
        <v>12694.119999999995</v>
      </c>
      <c r="H29" s="43">
        <f t="shared" si="10"/>
        <v>12694.119999999995</v>
      </c>
      <c r="I29" s="43">
        <f t="shared" si="10"/>
        <v>0</v>
      </c>
      <c r="J29" s="43">
        <f t="shared" si="10"/>
        <v>0</v>
      </c>
    </row>
    <row r="30" spans="1:12">
      <c r="B30" s="42" t="s">
        <v>40</v>
      </c>
      <c r="C30" s="43">
        <f>C4+C5+C20+C22</f>
        <v>416548.11</v>
      </c>
      <c r="D30" s="43">
        <f t="shared" ref="D30:J30" si="11">D4+D5+D20+D22</f>
        <v>416548.11</v>
      </c>
      <c r="E30" s="43">
        <f t="shared" si="11"/>
        <v>275774.61</v>
      </c>
      <c r="F30" s="43">
        <f t="shared" si="11"/>
        <v>275774.61</v>
      </c>
      <c r="G30" s="43">
        <f t="shared" si="11"/>
        <v>-140773.5</v>
      </c>
      <c r="H30" s="43">
        <f t="shared" si="11"/>
        <v>-140773.5</v>
      </c>
      <c r="I30" s="43">
        <f t="shared" si="11"/>
        <v>0</v>
      </c>
      <c r="J30" s="43">
        <f t="shared" si="11"/>
        <v>0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12" sqref="C12:C13"/>
    </sheetView>
  </sheetViews>
  <sheetFormatPr defaultRowHeight="12.75"/>
  <cols>
    <col min="1" max="1" width="4.140625" customWidth="1"/>
    <col min="2" max="2" width="32.5703125" style="36" customWidth="1"/>
    <col min="3" max="3" width="11.28515625" customWidth="1"/>
    <col min="4" max="4" width="13.7109375" customWidth="1"/>
    <col min="5" max="5" width="13.5703125" customWidth="1"/>
    <col min="6" max="6" width="11.42578125" customWidth="1"/>
    <col min="7" max="7" width="10.7109375" customWidth="1"/>
    <col min="8" max="8" width="13.42578125" customWidth="1"/>
    <col min="9" max="9" width="10.140625" bestFit="1" customWidth="1"/>
    <col min="10" max="10" width="11.85546875" customWidth="1"/>
    <col min="11" max="11" width="9.28515625" bestFit="1" customWidth="1"/>
    <col min="12" max="12" width="11.140625" customWidth="1"/>
    <col min="13" max="13" width="10.7109375" bestFit="1" customWidth="1"/>
  </cols>
  <sheetData>
    <row r="1" spans="1:13">
      <c r="B1" s="11" t="s">
        <v>42</v>
      </c>
      <c r="C1" s="11"/>
      <c r="D1" s="11"/>
    </row>
    <row r="2" spans="1:13" s="32" customFormat="1" ht="25.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сентябрь!B3</f>
        <v>Содержание общ.имущ.дома</v>
      </c>
      <c r="C3" s="8">
        <f>60855.92+10330.29</f>
        <v>71186.209999999992</v>
      </c>
      <c r="D3" s="18">
        <f>C3+сентябрь!D3</f>
        <v>600176.44999999984</v>
      </c>
      <c r="E3" s="8">
        <f>69156.85+4159</f>
        <v>73315.850000000006</v>
      </c>
      <c r="F3" s="18">
        <f>E3+сентябрь!F3</f>
        <v>617712.23</v>
      </c>
      <c r="G3" s="18">
        <f>E3-C3</f>
        <v>2129.640000000014</v>
      </c>
      <c r="H3" s="20">
        <f>F3-D3</f>
        <v>17535.780000000144</v>
      </c>
      <c r="I3" s="9"/>
      <c r="J3" s="20">
        <f>I3+сентябрь!J3</f>
        <v>0</v>
      </c>
      <c r="K3" s="8"/>
      <c r="L3" s="18">
        <f>K3+сентябрь!L3</f>
        <v>0</v>
      </c>
    </row>
    <row r="4" spans="1:13" ht="14.1" customHeight="1">
      <c r="A4" s="1">
        <f>A3+1</f>
        <v>2</v>
      </c>
      <c r="B4" s="34" t="str">
        <f>сентябрь!B4</f>
        <v>Отопление</v>
      </c>
      <c r="C4" s="8">
        <f>104840.88+17351.08</f>
        <v>122191.96</v>
      </c>
      <c r="D4" s="18">
        <f>C4+сентябрь!D4</f>
        <v>942801.03999999992</v>
      </c>
      <c r="E4" s="8">
        <f>34322.95+1138.47</f>
        <v>35461.42</v>
      </c>
      <c r="F4" s="18">
        <f>E4+сентябрь!F4</f>
        <v>1252085.3299999996</v>
      </c>
      <c r="G4" s="18">
        <f t="shared" ref="G4:H22" si="0">E4-C4</f>
        <v>-86730.540000000008</v>
      </c>
      <c r="H4" s="20">
        <f t="shared" si="0"/>
        <v>309284.28999999969</v>
      </c>
      <c r="I4" s="9"/>
      <c r="J4" s="20">
        <f>I4+сентябрь!J4</f>
        <v>0</v>
      </c>
      <c r="K4" s="8"/>
      <c r="L4" s="18">
        <f>K4+сентябрь!L4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сентябрь!B5</f>
        <v>Горячее водоснабжение</v>
      </c>
      <c r="C5" s="8">
        <f>125297.2+24285.68</f>
        <v>149582.88</v>
      </c>
      <c r="D5" s="18">
        <f>C5+сентябрь!D5</f>
        <v>1238335.3799999999</v>
      </c>
      <c r="E5" s="8">
        <f>139024.89+11303.75</f>
        <v>150328.64000000001</v>
      </c>
      <c r="F5" s="18">
        <f>E5+сентябрь!F5</f>
        <v>1223445.5699999998</v>
      </c>
      <c r="G5" s="18">
        <f t="shared" si="0"/>
        <v>745.76000000000931</v>
      </c>
      <c r="H5" s="20">
        <f t="shared" si="0"/>
        <v>-14889.810000000056</v>
      </c>
      <c r="I5" s="9"/>
      <c r="J5" s="20">
        <f>I5+сентябрь!J5</f>
        <v>0</v>
      </c>
      <c r="K5" s="8"/>
      <c r="L5" s="18">
        <f>K5+сентябрь!L5</f>
        <v>0</v>
      </c>
    </row>
    <row r="6" spans="1:13" ht="14.1" customHeight="1">
      <c r="A6" s="1">
        <f t="shared" si="1"/>
        <v>4</v>
      </c>
      <c r="B6" s="34" t="str">
        <f>сентябрь!B6</f>
        <v>Сод.и ремонт АППЗ</v>
      </c>
      <c r="C6" s="8">
        <f>2256.21+381.92</f>
        <v>2638.13</v>
      </c>
      <c r="D6" s="18">
        <f>C6+сентябрь!D6</f>
        <v>23109.77</v>
      </c>
      <c r="E6" s="8">
        <f>2630.03+154.2</f>
        <v>2784.23</v>
      </c>
      <c r="F6" s="18">
        <f>E6+сентябрь!F6</f>
        <v>24300.800000000003</v>
      </c>
      <c r="G6" s="18">
        <f t="shared" si="0"/>
        <v>146.09999999999991</v>
      </c>
      <c r="H6" s="20">
        <f t="shared" si="0"/>
        <v>1191.0300000000025</v>
      </c>
      <c r="I6" s="9"/>
      <c r="J6" s="20">
        <f>I6+сентябрь!J6</f>
        <v>0</v>
      </c>
      <c r="K6" s="8"/>
      <c r="L6" s="18">
        <f>K6+сентябрь!L6</f>
        <v>0</v>
      </c>
    </row>
    <row r="7" spans="1:13" ht="14.1" customHeight="1">
      <c r="A7" s="1">
        <f t="shared" si="1"/>
        <v>5</v>
      </c>
      <c r="B7" s="34" t="str">
        <f>сентябрь!B7</f>
        <v>Сод.и ремонт лифтов</v>
      </c>
      <c r="C7" s="8">
        <f>16982.68+1918.47</f>
        <v>18901.150000000001</v>
      </c>
      <c r="D7" s="18">
        <f>C7+сентябрь!D7</f>
        <v>124267.16</v>
      </c>
      <c r="E7" s="8">
        <f>13951.32+773.65</f>
        <v>14724.97</v>
      </c>
      <c r="F7" s="18">
        <f>E7+сентябрь!F7</f>
        <v>151647.99</v>
      </c>
      <c r="G7" s="18">
        <f t="shared" si="0"/>
        <v>-4176.1800000000021</v>
      </c>
      <c r="H7" s="20">
        <f t="shared" si="0"/>
        <v>27380.829999999987</v>
      </c>
      <c r="I7" s="9"/>
      <c r="J7" s="20">
        <f>I7+сентябрь!J7</f>
        <v>0</v>
      </c>
      <c r="K7" s="8"/>
      <c r="L7" s="18">
        <f>K7+сентябрь!L7</f>
        <v>0</v>
      </c>
    </row>
    <row r="8" spans="1:13" ht="14.1" customHeight="1">
      <c r="A8" s="1">
        <f t="shared" si="1"/>
        <v>6</v>
      </c>
      <c r="B8" s="34" t="str">
        <f>сентябрь!B8</f>
        <v>Очистка мусоропроводов</v>
      </c>
      <c r="C8" s="8">
        <f>7244.75+1232.66</f>
        <v>8477.41</v>
      </c>
      <c r="D8" s="18">
        <f>C8+сентябрь!D8</f>
        <v>72593.600000000006</v>
      </c>
      <c r="E8" s="8">
        <f>8403.89+496.76</f>
        <v>8900.65</v>
      </c>
      <c r="F8" s="18">
        <f>E8+сентябрь!F8</f>
        <v>75458.209999999992</v>
      </c>
      <c r="G8" s="18">
        <f t="shared" si="0"/>
        <v>423.23999999999978</v>
      </c>
      <c r="H8" s="20">
        <f t="shared" si="0"/>
        <v>2864.609999999986</v>
      </c>
      <c r="I8" s="9"/>
      <c r="J8" s="20">
        <f>I8+сентябрь!J8</f>
        <v>0</v>
      </c>
      <c r="K8" s="8"/>
      <c r="L8" s="18">
        <f>K8+сентябрь!L8</f>
        <v>0</v>
      </c>
      <c r="M8" s="25"/>
    </row>
    <row r="9" spans="1:13" ht="14.1" customHeight="1">
      <c r="A9" s="1">
        <f t="shared" si="1"/>
        <v>7</v>
      </c>
      <c r="B9" s="34" t="str">
        <f>сентябрь!B9</f>
        <v>Уборка и сан.очистка зем.уч.</v>
      </c>
      <c r="C9" s="8">
        <f>9383.76+1588.63</f>
        <v>10972.39</v>
      </c>
      <c r="D9" s="18">
        <f>C9+сентябрь!D9</f>
        <v>87281.26</v>
      </c>
      <c r="E9" s="8">
        <f>10550.32+637.07</f>
        <v>11187.39</v>
      </c>
      <c r="F9" s="18">
        <f>E9+сентябрь!F9</f>
        <v>88666.489999999991</v>
      </c>
      <c r="G9" s="18">
        <f t="shared" si="0"/>
        <v>215</v>
      </c>
      <c r="H9" s="20">
        <f t="shared" si="0"/>
        <v>1385.2299999999959</v>
      </c>
      <c r="I9" s="9"/>
      <c r="J9" s="20">
        <f>I9+сентябрь!J9</f>
        <v>0</v>
      </c>
      <c r="K9" s="8"/>
      <c r="L9" s="18">
        <f>K9+сентябрь!L9</f>
        <v>0</v>
      </c>
      <c r="M9" s="25"/>
    </row>
    <row r="10" spans="1:13" ht="14.1" customHeight="1">
      <c r="A10" s="1">
        <f t="shared" si="1"/>
        <v>8</v>
      </c>
      <c r="B10" s="34" t="str">
        <f>сентябрь!B10</f>
        <v>Электроснабжение(инд.потр)</v>
      </c>
      <c r="C10" s="8">
        <f>81629.11+15976.44</f>
        <v>97605.55</v>
      </c>
      <c r="D10" s="18">
        <f>C10+сентябрь!D10</f>
        <v>812311.83000000007</v>
      </c>
      <c r="E10" s="8">
        <f>93017.04+6451.29</f>
        <v>99468.329999999987</v>
      </c>
      <c r="F10" s="18">
        <f>E10+сентябрь!F10</f>
        <v>831359.53999999992</v>
      </c>
      <c r="G10" s="18">
        <f t="shared" si="0"/>
        <v>1862.7799999999843</v>
      </c>
      <c r="H10" s="20">
        <f t="shared" si="0"/>
        <v>19047.709999999846</v>
      </c>
      <c r="I10" s="9"/>
      <c r="J10" s="20">
        <f>I10+сентябрь!J10</f>
        <v>0</v>
      </c>
      <c r="K10" s="8"/>
      <c r="L10" s="18">
        <f>K10+сентябрь!L10</f>
        <v>0</v>
      </c>
      <c r="M10" s="25"/>
    </row>
    <row r="11" spans="1:13" ht="14.1" customHeight="1">
      <c r="A11" s="1">
        <f t="shared" si="1"/>
        <v>9</v>
      </c>
      <c r="B11" s="34" t="str">
        <f>сентябрь!B11</f>
        <v>Холодная вода</v>
      </c>
      <c r="C11" s="8">
        <f>48299.53+9491.35</f>
        <v>57790.879999999997</v>
      </c>
      <c r="D11" s="18">
        <f>C11+сентябрь!D11</f>
        <v>467234.1</v>
      </c>
      <c r="E11" s="8">
        <f>53277.84+4412.37</f>
        <v>57690.21</v>
      </c>
      <c r="F11" s="18">
        <f>E11+сентябрь!F11</f>
        <v>468306.68</v>
      </c>
      <c r="G11" s="18">
        <f t="shared" si="0"/>
        <v>-100.66999999999825</v>
      </c>
      <c r="H11" s="20">
        <f t="shared" si="0"/>
        <v>1072.5800000000163</v>
      </c>
      <c r="I11" s="9"/>
      <c r="J11" s="20">
        <f>I11+сентябрь!J11</f>
        <v>0</v>
      </c>
      <c r="K11" s="8"/>
      <c r="L11" s="18">
        <f>K11+сентябрь!L11</f>
        <v>0</v>
      </c>
      <c r="M11" s="25"/>
    </row>
    <row r="12" spans="1:13" ht="14.1" customHeight="1">
      <c r="A12" s="1">
        <f t="shared" si="1"/>
        <v>10</v>
      </c>
      <c r="B12" s="34" t="str">
        <f>сентябрь!B12</f>
        <v>Канализирование х.воды</v>
      </c>
      <c r="C12" s="8">
        <f>0+0</f>
        <v>0</v>
      </c>
      <c r="D12" s="18">
        <f>C12+сентябрь!D12</f>
        <v>0</v>
      </c>
      <c r="E12" s="8">
        <f>0+0</f>
        <v>0</v>
      </c>
      <c r="F12" s="18">
        <f>E12+сентябрь!F12</f>
        <v>0</v>
      </c>
      <c r="G12" s="18">
        <f t="shared" si="0"/>
        <v>0</v>
      </c>
      <c r="H12" s="20">
        <f t="shared" si="0"/>
        <v>0</v>
      </c>
      <c r="I12" s="9"/>
      <c r="J12" s="20">
        <f>I12+сентябрь!J12</f>
        <v>0</v>
      </c>
      <c r="K12" s="8"/>
      <c r="L12" s="18">
        <f>K12+сентябрь!L12</f>
        <v>0</v>
      </c>
      <c r="M12" s="25"/>
    </row>
    <row r="13" spans="1:13" ht="14.1" customHeight="1">
      <c r="A13" s="1">
        <f t="shared" si="1"/>
        <v>11</v>
      </c>
      <c r="B13" s="34" t="str">
        <f>сентябрь!B13</f>
        <v>Канализирование г.воды</v>
      </c>
      <c r="C13" s="8">
        <f>0+0</f>
        <v>0</v>
      </c>
      <c r="D13" s="18">
        <f>C13+сентябрь!D13</f>
        <v>0</v>
      </c>
      <c r="E13" s="8">
        <f>0+0</f>
        <v>0</v>
      </c>
      <c r="F13" s="18">
        <f>E13+сентябрь!F13</f>
        <v>0</v>
      </c>
      <c r="G13" s="18">
        <f t="shared" si="0"/>
        <v>0</v>
      </c>
      <c r="H13" s="20">
        <f t="shared" si="0"/>
        <v>0</v>
      </c>
      <c r="I13" s="9"/>
      <c r="J13" s="20">
        <f>I13+сентябрь!J13</f>
        <v>0</v>
      </c>
      <c r="K13" s="8"/>
      <c r="L13" s="18">
        <f>K13+сентябрь!L13</f>
        <v>0</v>
      </c>
      <c r="M13" s="25"/>
    </row>
    <row r="14" spans="1:13" ht="14.1" customHeight="1">
      <c r="A14" s="1">
        <f t="shared" si="1"/>
        <v>12</v>
      </c>
      <c r="B14" s="34" t="str">
        <f>сентябрь!B14</f>
        <v>Тек.ремонт общ.имущ.дома</v>
      </c>
      <c r="C14" s="8">
        <f>31843.03+5390.83</f>
        <v>37233.86</v>
      </c>
      <c r="D14" s="18">
        <f>C14+сентябрь!D14</f>
        <v>315522.37999999995</v>
      </c>
      <c r="E14" s="8">
        <f>37263.9+2171.21</f>
        <v>39435.11</v>
      </c>
      <c r="F14" s="18">
        <f>E14+сентябрь!F14</f>
        <v>334240.45</v>
      </c>
      <c r="G14" s="18">
        <f t="shared" si="0"/>
        <v>2201.25</v>
      </c>
      <c r="H14" s="20">
        <f t="shared" si="0"/>
        <v>18718.070000000065</v>
      </c>
      <c r="I14" s="9"/>
      <c r="J14" s="20">
        <f>I14+сентябрь!J14</f>
        <v>0</v>
      </c>
      <c r="K14" s="8"/>
      <c r="L14" s="18">
        <f>K14+сентябрь!L14</f>
        <v>0</v>
      </c>
      <c r="M14" s="25"/>
    </row>
    <row r="15" spans="1:13" ht="14.1" customHeight="1">
      <c r="A15" s="1">
        <f t="shared" si="1"/>
        <v>13</v>
      </c>
      <c r="B15" s="34" t="str">
        <f>сентябрь!B15</f>
        <v>Управление многокварт.домом</v>
      </c>
      <c r="C15" s="8">
        <f>13178.2+2231.01</f>
        <v>15409.210000000001</v>
      </c>
      <c r="D15" s="18">
        <f>C15+сентябрь!D15</f>
        <v>127122.79000000002</v>
      </c>
      <c r="E15" s="8">
        <f>14712.05+896.45</f>
        <v>15608.5</v>
      </c>
      <c r="F15" s="18">
        <f>E15+сентябрь!F15</f>
        <v>126523.59</v>
      </c>
      <c r="G15" s="18">
        <f t="shared" si="0"/>
        <v>199.28999999999905</v>
      </c>
      <c r="H15" s="20">
        <f t="shared" si="0"/>
        <v>-599.20000000002619</v>
      </c>
      <c r="I15" s="9"/>
      <c r="J15" s="20">
        <f>I15+сентябрь!J15</f>
        <v>0</v>
      </c>
      <c r="K15" s="8"/>
      <c r="L15" s="18">
        <f>K15+сентябрь!L15</f>
        <v>0</v>
      </c>
      <c r="M15" s="25"/>
    </row>
    <row r="16" spans="1:13" ht="14.1" customHeight="1">
      <c r="A16" s="1">
        <f t="shared" si="1"/>
        <v>14</v>
      </c>
      <c r="B16" s="34" t="str">
        <f>сентябрь!B16</f>
        <v>Водоотведение (кв)</v>
      </c>
      <c r="C16" s="8">
        <f>83131.03+16240.39</f>
        <v>99371.42</v>
      </c>
      <c r="D16" s="18">
        <f>C16+сентябрь!D16</f>
        <v>800188.74</v>
      </c>
      <c r="E16" s="8">
        <f>91412.53+7547.39</f>
        <v>98959.92</v>
      </c>
      <c r="F16" s="18">
        <f>E16+сентябрь!F16</f>
        <v>807039.66</v>
      </c>
      <c r="G16" s="18">
        <f t="shared" si="0"/>
        <v>-411.5</v>
      </c>
      <c r="H16" s="20">
        <f t="shared" si="0"/>
        <v>6850.9200000000419</v>
      </c>
      <c r="I16" s="9"/>
      <c r="J16" s="20">
        <f>I16+сентябрь!J16</f>
        <v>0</v>
      </c>
      <c r="K16" s="8"/>
      <c r="L16" s="18">
        <f>K16+сентябрь!L16</f>
        <v>0</v>
      </c>
      <c r="M16" s="25"/>
    </row>
    <row r="17" spans="1:13" ht="14.1" customHeight="1">
      <c r="A17" s="1">
        <f t="shared" si="1"/>
        <v>15</v>
      </c>
      <c r="B17" s="34" t="str">
        <f>сентябрь!B17</f>
        <v>Эксплуатация общедомовых ПУ</v>
      </c>
      <c r="C17" s="8">
        <f>3384.31+572.94</f>
        <v>3957.25</v>
      </c>
      <c r="D17" s="18">
        <f>C17+сентябрь!D17</f>
        <v>33530.130000000005</v>
      </c>
      <c r="E17" s="8">
        <f>3910.48+230.85</f>
        <v>4141.33</v>
      </c>
      <c r="F17" s="18">
        <f>E17+сентябрь!F17</f>
        <v>35666.410000000003</v>
      </c>
      <c r="G17" s="18">
        <f t="shared" si="0"/>
        <v>184.07999999999993</v>
      </c>
      <c r="H17" s="20">
        <f t="shared" si="0"/>
        <v>2136.2799999999988</v>
      </c>
      <c r="I17" s="9"/>
      <c r="J17" s="20">
        <f>I17+сентябрь!J17</f>
        <v>0</v>
      </c>
      <c r="K17" s="8"/>
      <c r="L17" s="18">
        <f>K17+сентябрь!L17</f>
        <v>0</v>
      </c>
      <c r="M17" s="25"/>
    </row>
    <row r="18" spans="1:13" ht="14.1" customHeight="1">
      <c r="A18" s="1">
        <f t="shared" si="1"/>
        <v>16</v>
      </c>
      <c r="B18" s="34" t="str">
        <f>сентябрь!B18</f>
        <v>Хол.водоснабжение(о/д нужды)</v>
      </c>
      <c r="C18" s="8">
        <f>1511.54+257.31</f>
        <v>1768.85</v>
      </c>
      <c r="D18" s="18">
        <f>C18+сентябрь!D18</f>
        <v>17138.349999999999</v>
      </c>
      <c r="E18" s="8">
        <f>2570.45+103.16</f>
        <v>2673.6099999999997</v>
      </c>
      <c r="F18" s="18">
        <f>E18+сентябрь!F18</f>
        <v>20923.04</v>
      </c>
      <c r="G18" s="18">
        <f t="shared" si="0"/>
        <v>904.75999999999976</v>
      </c>
      <c r="H18" s="20">
        <f t="shared" si="0"/>
        <v>3784.6900000000023</v>
      </c>
      <c r="I18" s="9"/>
      <c r="J18" s="20">
        <f>I18+сентябрь!J18</f>
        <v>0</v>
      </c>
      <c r="K18" s="8"/>
      <c r="L18" s="18">
        <f>K18+сентябрь!L18</f>
        <v>0</v>
      </c>
      <c r="M18" s="25"/>
    </row>
    <row r="19" spans="1:13" ht="14.1" customHeight="1">
      <c r="A19" s="1">
        <f t="shared" si="1"/>
        <v>17</v>
      </c>
      <c r="B19" s="34" t="str">
        <f>сентябрь!B19</f>
        <v>Водоотведение(о/д нужды)</v>
      </c>
      <c r="C19" s="8">
        <f>0+0</f>
        <v>0</v>
      </c>
      <c r="D19" s="18">
        <f>C19+сентябрь!D19</f>
        <v>0</v>
      </c>
      <c r="E19" s="8">
        <f>0+0</f>
        <v>0</v>
      </c>
      <c r="F19" s="18">
        <f>E19+сентябрь!F19</f>
        <v>226.65</v>
      </c>
      <c r="G19" s="18">
        <f t="shared" si="0"/>
        <v>0</v>
      </c>
      <c r="H19" s="20">
        <f t="shared" si="0"/>
        <v>226.65</v>
      </c>
      <c r="I19" s="9"/>
      <c r="J19" s="20">
        <f>I19+сентябрь!J19</f>
        <v>0</v>
      </c>
      <c r="K19" s="8"/>
      <c r="L19" s="18">
        <f>K19+сентябрь!L19</f>
        <v>0</v>
      </c>
      <c r="M19" s="25"/>
    </row>
    <row r="20" spans="1:13" ht="14.1" customHeight="1">
      <c r="A20" s="1">
        <f t="shared" si="1"/>
        <v>18</v>
      </c>
      <c r="B20" s="34" t="str">
        <f>сентябрь!B20</f>
        <v>Отопление (о/д нужды)</v>
      </c>
      <c r="C20" s="8">
        <f>0+0</f>
        <v>0</v>
      </c>
      <c r="D20" s="18">
        <f>C20+сентябрь!D20</f>
        <v>0</v>
      </c>
      <c r="E20" s="8">
        <f>0+0</f>
        <v>0</v>
      </c>
      <c r="F20" s="18">
        <f>E20+сентябрь!F20</f>
        <v>1286.5400000000002</v>
      </c>
      <c r="G20" s="18">
        <f t="shared" si="0"/>
        <v>0</v>
      </c>
      <c r="H20" s="20">
        <f t="shared" si="0"/>
        <v>1286.5400000000002</v>
      </c>
      <c r="I20" s="9"/>
      <c r="J20" s="20">
        <f>I20+сентябрь!J20</f>
        <v>0</v>
      </c>
      <c r="K20" s="8"/>
      <c r="L20" s="18">
        <f>K20+сентябрь!L20</f>
        <v>0</v>
      </c>
      <c r="M20" s="25"/>
    </row>
    <row r="21" spans="1:13" ht="14.1" customHeight="1">
      <c r="A21" s="1">
        <f t="shared" si="1"/>
        <v>19</v>
      </c>
      <c r="B21" s="34" t="str">
        <f>сентябрь!B21</f>
        <v>Электроснабжение(оющед.нужд)</v>
      </c>
      <c r="C21" s="8">
        <f>23424.28+3994.62</f>
        <v>27418.899999999998</v>
      </c>
      <c r="D21" s="18">
        <f>C21+сентябрь!D21</f>
        <v>344836.21000000008</v>
      </c>
      <c r="E21" s="8">
        <f>35282.19+3024.77</f>
        <v>38306.959999999999</v>
      </c>
      <c r="F21" s="18">
        <f>E21+сентябрь!F21</f>
        <v>373433.26</v>
      </c>
      <c r="G21" s="18">
        <f t="shared" si="0"/>
        <v>10888.060000000001</v>
      </c>
      <c r="H21" s="20">
        <f t="shared" si="0"/>
        <v>28597.04999999993</v>
      </c>
      <c r="I21" s="9"/>
      <c r="J21" s="20">
        <f>I21+сентябрь!J21</f>
        <v>0</v>
      </c>
      <c r="K21" s="8"/>
      <c r="L21" s="18">
        <f>K21+сентябрь!L21</f>
        <v>0</v>
      </c>
      <c r="M21" s="25"/>
    </row>
    <row r="22" spans="1:13" ht="14.1" customHeight="1">
      <c r="A22" s="1">
        <f t="shared" si="1"/>
        <v>20</v>
      </c>
      <c r="B22" s="34" t="str">
        <f>сентябрь!B22</f>
        <v>Горячее водоснабжение(о/д нужды)</v>
      </c>
      <c r="C22" s="8">
        <f>3357.07+569.08</f>
        <v>3926.15</v>
      </c>
      <c r="D22" s="18">
        <f>C22+сентябрь!D22</f>
        <v>39323.530000000006</v>
      </c>
      <c r="E22" s="9">
        <f>4316.56+230.17</f>
        <v>4546.7300000000005</v>
      </c>
      <c r="F22" s="18">
        <f>E22+сентябрь!F22</f>
        <v>38246.639999999999</v>
      </c>
      <c r="G22" s="18">
        <f t="shared" si="0"/>
        <v>620.58000000000038</v>
      </c>
      <c r="H22" s="20">
        <f t="shared" si="0"/>
        <v>-1076.8900000000067</v>
      </c>
      <c r="I22" s="9"/>
      <c r="J22" s="20">
        <f>I22+сентябрь!J22</f>
        <v>0</v>
      </c>
      <c r="K22" s="8"/>
      <c r="L22" s="18">
        <f>K22+сентябрь!L22</f>
        <v>0</v>
      </c>
      <c r="M22" s="25"/>
    </row>
    <row r="23" spans="1:13" ht="14.1" customHeight="1">
      <c r="A23" s="22"/>
      <c r="B23" s="38" t="s">
        <v>12</v>
      </c>
      <c r="C23" s="18">
        <f t="shared" ref="C23:L23" si="2">SUM(C3:C22)</f>
        <v>728432.2</v>
      </c>
      <c r="D23" s="18">
        <f t="shared" si="2"/>
        <v>6045772.7199999997</v>
      </c>
      <c r="E23" s="20">
        <f t="shared" si="2"/>
        <v>657533.85</v>
      </c>
      <c r="F23" s="18">
        <f t="shared" si="2"/>
        <v>6470569.0799999991</v>
      </c>
      <c r="G23" s="18">
        <f t="shared" si="2"/>
        <v>-70898.350000000006</v>
      </c>
      <c r="H23" s="20">
        <f t="shared" si="2"/>
        <v>424796.35999999964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3" ht="7.5" customHeight="1"/>
    <row r="26" spans="1:13" hidden="1"/>
    <row r="27" spans="1:13" ht="7.5" hidden="1" customHeight="1"/>
    <row r="28" spans="1:13">
      <c r="B28" s="1" t="s">
        <v>38</v>
      </c>
      <c r="C28" s="9">
        <f>C11+C12+C13+C16+C18+C19</f>
        <v>158931.15</v>
      </c>
      <c r="D28" s="9">
        <f t="shared" ref="D28:J28" si="3">D11+D12+D13+D16+D18+D19</f>
        <v>1284561.19</v>
      </c>
      <c r="E28" s="9">
        <f t="shared" si="3"/>
        <v>159323.74</v>
      </c>
      <c r="F28" s="9">
        <f t="shared" si="3"/>
        <v>1296496.03</v>
      </c>
      <c r="G28" s="9">
        <f t="shared" si="3"/>
        <v>392.59000000000151</v>
      </c>
      <c r="H28" s="9">
        <f t="shared" si="3"/>
        <v>11934.84000000006</v>
      </c>
      <c r="I28" s="9">
        <f t="shared" si="3"/>
        <v>0</v>
      </c>
      <c r="J28" s="9">
        <f t="shared" si="3"/>
        <v>0</v>
      </c>
    </row>
    <row r="29" spans="1:13">
      <c r="B29" s="1" t="s">
        <v>39</v>
      </c>
      <c r="C29" s="9">
        <f>C10+C21</f>
        <v>125024.45</v>
      </c>
      <c r="D29" s="9">
        <f t="shared" ref="D29:J29" si="4">D10+D21</f>
        <v>1157148.04</v>
      </c>
      <c r="E29" s="9">
        <f t="shared" si="4"/>
        <v>137775.28999999998</v>
      </c>
      <c r="F29" s="9">
        <f t="shared" si="4"/>
        <v>1204792.7999999998</v>
      </c>
      <c r="G29" s="9">
        <f t="shared" si="4"/>
        <v>12750.839999999986</v>
      </c>
      <c r="H29" s="9">
        <f t="shared" si="4"/>
        <v>47644.759999999776</v>
      </c>
      <c r="I29" s="9">
        <f t="shared" si="4"/>
        <v>0</v>
      </c>
      <c r="J29" s="9">
        <f t="shared" si="4"/>
        <v>0</v>
      </c>
    </row>
    <row r="30" spans="1:13">
      <c r="B30" s="1" t="s">
        <v>40</v>
      </c>
      <c r="C30" s="9">
        <f>C4+C5+C20+C22</f>
        <v>275700.99000000005</v>
      </c>
      <c r="D30" s="9">
        <f t="shared" ref="D30:J30" si="5">D4+D5+D20+D22</f>
        <v>2220459.9499999997</v>
      </c>
      <c r="E30" s="9">
        <f t="shared" si="5"/>
        <v>190336.79</v>
      </c>
      <c r="F30" s="9">
        <f t="shared" si="5"/>
        <v>2515064.0799999996</v>
      </c>
      <c r="G30" s="9">
        <f t="shared" si="5"/>
        <v>-85364.2</v>
      </c>
      <c r="H30" s="9">
        <f t="shared" si="5"/>
        <v>294604.1299999996</v>
      </c>
      <c r="I30" s="9">
        <f t="shared" si="5"/>
        <v>0</v>
      </c>
      <c r="J30" s="9">
        <f t="shared" si="5"/>
        <v>0</v>
      </c>
    </row>
    <row r="33" spans="4:5">
      <c r="D33" s="70">
        <v>616619.5</v>
      </c>
      <c r="E33" s="70">
        <v>613803.29</v>
      </c>
    </row>
    <row r="34" spans="4:5">
      <c r="D34" s="70">
        <v>111812.7</v>
      </c>
      <c r="E34" s="70">
        <v>43730.559999999998</v>
      </c>
    </row>
    <row r="35" spans="4:5">
      <c r="D35" s="71">
        <f>D33+D34</f>
        <v>728432.2</v>
      </c>
      <c r="E35" s="71">
        <f>E33+E34</f>
        <v>657533.85000000009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12" sqref="C12:C13"/>
    </sheetView>
  </sheetViews>
  <sheetFormatPr defaultRowHeight="12.75"/>
  <cols>
    <col min="1" max="1" width="4.140625" customWidth="1"/>
    <col min="2" max="2" width="32.28515625" style="36" customWidth="1"/>
    <col min="3" max="3" width="10.140625" bestFit="1" customWidth="1"/>
    <col min="4" max="4" width="12.42578125" customWidth="1"/>
    <col min="5" max="5" width="10.140625" customWidth="1"/>
    <col min="6" max="6" width="12.28515625" customWidth="1"/>
    <col min="7" max="7" width="13.42578125" customWidth="1"/>
    <col min="8" max="8" width="12.7109375" customWidth="1"/>
    <col min="9" max="9" width="10.140625" bestFit="1" customWidth="1"/>
    <col min="10" max="10" width="11" customWidth="1"/>
    <col min="11" max="11" width="10.140625" bestFit="1" customWidth="1"/>
    <col min="12" max="12" width="12.28515625" customWidth="1"/>
    <col min="13" max="13" width="10.7109375" bestFit="1" customWidth="1"/>
  </cols>
  <sheetData>
    <row r="1" spans="1:13">
      <c r="B1" s="11" t="s">
        <v>43</v>
      </c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октябрь!B3</f>
        <v>Содержание общ.имущ.дома</v>
      </c>
      <c r="C3" s="8">
        <f>60413.6+10330.29</f>
        <v>70743.89</v>
      </c>
      <c r="D3" s="18">
        <f>C3+октябрь!D3</f>
        <v>670920.33999999985</v>
      </c>
      <c r="E3" s="9">
        <f>69494.37+7989.74</f>
        <v>77484.11</v>
      </c>
      <c r="F3" s="18">
        <f>E3+октябрь!F3</f>
        <v>695196.34</v>
      </c>
      <c r="G3" s="18">
        <f>E3-C3</f>
        <v>6740.2200000000012</v>
      </c>
      <c r="H3" s="20">
        <f>F3-D3</f>
        <v>24276.000000000116</v>
      </c>
      <c r="I3" s="9"/>
      <c r="J3" s="20">
        <f>I3+октябрь!J3</f>
        <v>0</v>
      </c>
      <c r="K3" s="8"/>
      <c r="L3" s="18">
        <f>K3+октябрь!L3</f>
        <v>0</v>
      </c>
    </row>
    <row r="4" spans="1:13" ht="14.1" customHeight="1">
      <c r="A4" s="1">
        <f>A3+1</f>
        <v>2</v>
      </c>
      <c r="B4" s="34" t="str">
        <f>октябрь!B4</f>
        <v>Отопление</v>
      </c>
      <c r="C4" s="8">
        <f>181778.19+30998.71</f>
        <v>212776.9</v>
      </c>
      <c r="D4" s="18">
        <f>C4+октябрь!D4</f>
        <v>1155577.94</v>
      </c>
      <c r="E4" s="9">
        <f>109378.49+9503.88</f>
        <v>118882.37000000001</v>
      </c>
      <c r="F4" s="18">
        <f>E4+октябрь!F4</f>
        <v>1370967.6999999997</v>
      </c>
      <c r="G4" s="18">
        <f t="shared" ref="G4:H22" si="0">E4-C4</f>
        <v>-93894.529999999984</v>
      </c>
      <c r="H4" s="20">
        <f t="shared" si="0"/>
        <v>215389.75999999978</v>
      </c>
      <c r="I4" s="9"/>
      <c r="J4" s="20">
        <f>I4+октябрь!J4</f>
        <v>0</v>
      </c>
      <c r="K4" s="8"/>
      <c r="L4" s="18">
        <f>K4+октябрь!L4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октябрь!B5</f>
        <v>Горячее водоснабжение</v>
      </c>
      <c r="C5" s="8">
        <f>113471.84+24285.68</f>
        <v>137757.51999999999</v>
      </c>
      <c r="D5" s="18">
        <f>C5+октябрь!D5</f>
        <v>1376092.9</v>
      </c>
      <c r="E5" s="9">
        <f>133335.03+21951.31</f>
        <v>155286.34</v>
      </c>
      <c r="F5" s="18">
        <f>E5+октябрь!F5</f>
        <v>1378731.91</v>
      </c>
      <c r="G5" s="18">
        <f t="shared" si="0"/>
        <v>17528.820000000007</v>
      </c>
      <c r="H5" s="20">
        <f t="shared" si="0"/>
        <v>2639.0100000000093</v>
      </c>
      <c r="I5" s="9"/>
      <c r="J5" s="20">
        <f>I5+октябрь!J5</f>
        <v>0</v>
      </c>
      <c r="K5" s="8"/>
      <c r="L5" s="18">
        <f>K5+октябрь!L5</f>
        <v>0</v>
      </c>
      <c r="M5" s="25"/>
    </row>
    <row r="6" spans="1:13" ht="14.1" customHeight="1">
      <c r="A6" s="1">
        <f t="shared" si="1"/>
        <v>4</v>
      </c>
      <c r="B6" s="34" t="str">
        <f>октябрь!B6</f>
        <v>Сод.и ремонт АППЗ</v>
      </c>
      <c r="C6" s="8">
        <f>2239.85+381.92</f>
        <v>2621.77</v>
      </c>
      <c r="D6" s="18">
        <f>C6+октябрь!D6</f>
        <v>25731.54</v>
      </c>
      <c r="E6" s="9">
        <f>2682.57+296.75</f>
        <v>2979.32</v>
      </c>
      <c r="F6" s="18">
        <f>E6+октябрь!F6</f>
        <v>27280.120000000003</v>
      </c>
      <c r="G6" s="18">
        <f t="shared" si="0"/>
        <v>357.55000000000018</v>
      </c>
      <c r="H6" s="20">
        <f t="shared" si="0"/>
        <v>1548.5800000000017</v>
      </c>
      <c r="I6" s="9"/>
      <c r="J6" s="20">
        <f>I6+октябрь!J6</f>
        <v>0</v>
      </c>
      <c r="K6" s="8"/>
      <c r="L6" s="18">
        <f>K6+октябрь!L6</f>
        <v>0</v>
      </c>
      <c r="M6" s="25"/>
    </row>
    <row r="7" spans="1:13" ht="14.1" customHeight="1">
      <c r="A7" s="1">
        <f t="shared" si="1"/>
        <v>5</v>
      </c>
      <c r="B7" s="34" t="str">
        <f>октябрь!B7</f>
        <v>Сод.и ремонт лифтов</v>
      </c>
      <c r="C7" s="8">
        <f>16900.55+1918.47</f>
        <v>18819.02</v>
      </c>
      <c r="D7" s="18">
        <f>C7+октябрь!D7</f>
        <v>143086.18</v>
      </c>
      <c r="E7" s="9">
        <f>21070.47+1486.97</f>
        <v>22557.440000000002</v>
      </c>
      <c r="F7" s="18">
        <f>E7+октябрь!F7</f>
        <v>174205.43</v>
      </c>
      <c r="G7" s="18">
        <f t="shared" si="0"/>
        <v>3738.4200000000019</v>
      </c>
      <c r="H7" s="20">
        <f t="shared" si="0"/>
        <v>31119.25</v>
      </c>
      <c r="I7" s="9"/>
      <c r="J7" s="20">
        <f>I7+октябрь!J7</f>
        <v>0</v>
      </c>
      <c r="K7" s="8"/>
      <c r="L7" s="18">
        <f>K7+октябрь!L7</f>
        <v>0</v>
      </c>
      <c r="M7" s="25"/>
    </row>
    <row r="8" spans="1:13" ht="14.1" customHeight="1">
      <c r="A8" s="1">
        <f t="shared" si="1"/>
        <v>6</v>
      </c>
      <c r="B8" s="34" t="str">
        <f>октябрь!B8</f>
        <v>Очистка мусоропроводов</v>
      </c>
      <c r="C8" s="8">
        <f>7191.96+1232.66</f>
        <v>8424.6200000000008</v>
      </c>
      <c r="D8" s="18">
        <f>C8+октябрь!D8</f>
        <v>81018.22</v>
      </c>
      <c r="E8" s="9">
        <f>8440.6+955.08</f>
        <v>9395.68</v>
      </c>
      <c r="F8" s="18">
        <f>E8+октябрь!F8</f>
        <v>84853.889999999985</v>
      </c>
      <c r="G8" s="18">
        <f t="shared" si="0"/>
        <v>971.05999999999949</v>
      </c>
      <c r="H8" s="20">
        <f t="shared" si="0"/>
        <v>3835.6699999999837</v>
      </c>
      <c r="I8" s="9"/>
      <c r="J8" s="20">
        <f>I8+октябрь!J8</f>
        <v>0</v>
      </c>
      <c r="K8" s="8"/>
      <c r="L8" s="18">
        <f>K8+октябрь!L8</f>
        <v>0</v>
      </c>
      <c r="M8" s="25"/>
    </row>
    <row r="9" spans="1:13" ht="14.1" customHeight="1">
      <c r="A9" s="1">
        <f t="shared" si="1"/>
        <v>7</v>
      </c>
      <c r="B9" s="34" t="str">
        <f>октябрь!B9</f>
        <v>Уборка и сан.очистка зем.уч.</v>
      </c>
      <c r="C9" s="8">
        <f>9315.74+1588.63</f>
        <v>10904.369999999999</v>
      </c>
      <c r="D9" s="18">
        <f>C9+октябрь!D9</f>
        <v>98185.62999999999</v>
      </c>
      <c r="E9" s="9">
        <f>10499.08+1220.32</f>
        <v>11719.4</v>
      </c>
      <c r="F9" s="18">
        <f>E9+октябрь!F9</f>
        <v>100385.88999999998</v>
      </c>
      <c r="G9" s="18">
        <f t="shared" si="0"/>
        <v>815.03000000000065</v>
      </c>
      <c r="H9" s="20">
        <f t="shared" si="0"/>
        <v>2200.2599999999948</v>
      </c>
      <c r="I9" s="9"/>
      <c r="J9" s="20">
        <f>I9+октябрь!J9</f>
        <v>0</v>
      </c>
      <c r="K9" s="8"/>
      <c r="L9" s="18">
        <f>K9+октябрь!L9</f>
        <v>0</v>
      </c>
      <c r="M9" s="25"/>
    </row>
    <row r="10" spans="1:13" ht="14.1" customHeight="1">
      <c r="A10" s="1">
        <f t="shared" si="1"/>
        <v>8</v>
      </c>
      <c r="B10" s="34" t="str">
        <f>октябрь!B10</f>
        <v>Электроснабжение(инд.потр)</v>
      </c>
      <c r="C10" s="8">
        <f>78721.47+15976.44</f>
        <v>94697.91</v>
      </c>
      <c r="D10" s="18">
        <f>C10+октябрь!D10</f>
        <v>907009.74000000011</v>
      </c>
      <c r="E10" s="9">
        <f>90694.42+12321.03</f>
        <v>103015.45</v>
      </c>
      <c r="F10" s="18">
        <f>E10+октябрь!F10</f>
        <v>934374.98999999987</v>
      </c>
      <c r="G10" s="18">
        <f t="shared" si="0"/>
        <v>8317.5399999999936</v>
      </c>
      <c r="H10" s="20">
        <f t="shared" si="0"/>
        <v>27365.249999999767</v>
      </c>
      <c r="I10" s="9"/>
      <c r="J10" s="20">
        <f>I10+октябрь!J10</f>
        <v>0</v>
      </c>
      <c r="K10" s="8"/>
      <c r="L10" s="18">
        <f>K10+октябрь!L10</f>
        <v>0</v>
      </c>
      <c r="M10" s="25"/>
    </row>
    <row r="11" spans="1:13" ht="14.1" customHeight="1">
      <c r="A11" s="1">
        <f t="shared" si="1"/>
        <v>9</v>
      </c>
      <c r="B11" s="34" t="str">
        <f>октябрь!B11</f>
        <v>Холодная вода</v>
      </c>
      <c r="C11" s="8">
        <f>45442.43+9519.34</f>
        <v>54961.770000000004</v>
      </c>
      <c r="D11" s="18">
        <f>C11+октябрь!D11</f>
        <v>522195.87</v>
      </c>
      <c r="E11" s="9">
        <f>51721.33+8543.9</f>
        <v>60265.23</v>
      </c>
      <c r="F11" s="18">
        <f>E11+октябрь!F11</f>
        <v>528571.91</v>
      </c>
      <c r="G11" s="18">
        <f t="shared" si="0"/>
        <v>5303.4599999999991</v>
      </c>
      <c r="H11" s="20">
        <f t="shared" si="0"/>
        <v>6376.0400000000373</v>
      </c>
      <c r="I11" s="9"/>
      <c r="J11" s="20">
        <f>I11+октябрь!J11</f>
        <v>0</v>
      </c>
      <c r="K11" s="8"/>
      <c r="L11" s="18">
        <f>K11+октябрь!L11</f>
        <v>0</v>
      </c>
      <c r="M11" s="25"/>
    </row>
    <row r="12" spans="1:13" ht="14.1" customHeight="1">
      <c r="A12" s="1">
        <f t="shared" si="1"/>
        <v>10</v>
      </c>
      <c r="B12" s="34" t="str">
        <f>октябрь!B12</f>
        <v>Канализирование х.воды</v>
      </c>
      <c r="C12" s="8">
        <f>0+0</f>
        <v>0</v>
      </c>
      <c r="D12" s="18">
        <f>C12+октябрь!D12</f>
        <v>0</v>
      </c>
      <c r="E12" s="8">
        <f>0+0</f>
        <v>0</v>
      </c>
      <c r="F12" s="18">
        <f>E12+октябрь!F12</f>
        <v>0</v>
      </c>
      <c r="G12" s="18">
        <f t="shared" si="0"/>
        <v>0</v>
      </c>
      <c r="H12" s="20">
        <f t="shared" si="0"/>
        <v>0</v>
      </c>
      <c r="I12" s="9"/>
      <c r="J12" s="20">
        <f>I12+октябрь!J12</f>
        <v>0</v>
      </c>
      <c r="K12" s="8"/>
      <c r="L12" s="18">
        <f>K12+октябрь!L12</f>
        <v>0</v>
      </c>
      <c r="M12" s="25"/>
    </row>
    <row r="13" spans="1:13" ht="14.1" customHeight="1">
      <c r="A13" s="1">
        <f t="shared" si="1"/>
        <v>11</v>
      </c>
      <c r="B13" s="34" t="str">
        <f>октябрь!B13</f>
        <v>Канализирование г.воды</v>
      </c>
      <c r="C13" s="8">
        <f>0+0</f>
        <v>0</v>
      </c>
      <c r="D13" s="18">
        <f>C13+октябрь!D13</f>
        <v>0</v>
      </c>
      <c r="E13" s="8">
        <f>0+0</f>
        <v>0</v>
      </c>
      <c r="F13" s="18">
        <f>E13+октябрь!F13</f>
        <v>0</v>
      </c>
      <c r="G13" s="18">
        <f t="shared" si="0"/>
        <v>0</v>
      </c>
      <c r="H13" s="20">
        <f t="shared" si="0"/>
        <v>0</v>
      </c>
      <c r="I13" s="9"/>
      <c r="J13" s="20">
        <f>I13+октябрь!J13</f>
        <v>0</v>
      </c>
      <c r="K13" s="8"/>
      <c r="L13" s="18">
        <f>K13+октябрь!L13</f>
        <v>0</v>
      </c>
      <c r="M13" s="25"/>
    </row>
    <row r="14" spans="1:13" ht="14.1" customHeight="1">
      <c r="A14" s="1">
        <f t="shared" si="1"/>
        <v>12</v>
      </c>
      <c r="B14" s="34" t="str">
        <f>октябрь!B14</f>
        <v>Тек.ремонт общ.имущ.дома</v>
      </c>
      <c r="C14" s="8">
        <f>31612.21+5390.83</f>
        <v>37003.040000000001</v>
      </c>
      <c r="D14" s="18">
        <f>C14+октябрь!D14</f>
        <v>352525.41999999993</v>
      </c>
      <c r="E14" s="9">
        <f>38371.57+4172.1</f>
        <v>42543.67</v>
      </c>
      <c r="F14" s="18">
        <f>E14+октябрь!F14</f>
        <v>376784.12</v>
      </c>
      <c r="G14" s="18">
        <f t="shared" si="0"/>
        <v>5540.6299999999974</v>
      </c>
      <c r="H14" s="20">
        <f t="shared" si="0"/>
        <v>24258.70000000007</v>
      </c>
      <c r="I14" s="9"/>
      <c r="J14" s="20">
        <f>I14+октябрь!J14</f>
        <v>0</v>
      </c>
      <c r="K14" s="8"/>
      <c r="L14" s="18">
        <f>K14+октябрь!L14</f>
        <v>0</v>
      </c>
      <c r="M14" s="25"/>
    </row>
    <row r="15" spans="1:13" ht="14.1" customHeight="1">
      <c r="A15" s="1">
        <f t="shared" si="1"/>
        <v>13</v>
      </c>
      <c r="B15" s="34" t="str">
        <f>октябрь!B15</f>
        <v>Управление многокварт.домом</v>
      </c>
      <c r="C15" s="8">
        <f>13082.66+2231.01</f>
        <v>15313.67</v>
      </c>
      <c r="D15" s="18">
        <f>C15+октябрь!D15</f>
        <v>142436.46000000002</v>
      </c>
      <c r="E15" s="9">
        <f>14010.95+1720.84</f>
        <v>15731.79</v>
      </c>
      <c r="F15" s="18">
        <f>E15+октябрь!F15</f>
        <v>142255.38</v>
      </c>
      <c r="G15" s="18">
        <f t="shared" si="0"/>
        <v>418.1200000000008</v>
      </c>
      <c r="H15" s="20">
        <f t="shared" si="0"/>
        <v>-181.0800000000163</v>
      </c>
      <c r="I15" s="9"/>
      <c r="J15" s="20">
        <f>I15+октябрь!J15</f>
        <v>0</v>
      </c>
      <c r="K15" s="8"/>
      <c r="L15" s="18">
        <f>K15+октябрь!L15</f>
        <v>0</v>
      </c>
      <c r="M15" s="25"/>
    </row>
    <row r="16" spans="1:13" ht="14.1" customHeight="1">
      <c r="A16" s="1">
        <f t="shared" si="1"/>
        <v>14</v>
      </c>
      <c r="B16" s="34" t="str">
        <f>октябрь!B16</f>
        <v>Водоотведение (кв)</v>
      </c>
      <c r="C16" s="8">
        <f>77018.28+16268.38</f>
        <v>93286.66</v>
      </c>
      <c r="D16" s="18">
        <f>C16+октябрь!D16</f>
        <v>893475.4</v>
      </c>
      <c r="E16" s="9">
        <f>89900.2+14615.85</f>
        <v>104516.05</v>
      </c>
      <c r="F16" s="18">
        <f>E16+октябрь!F16</f>
        <v>911555.71000000008</v>
      </c>
      <c r="G16" s="18">
        <f t="shared" si="0"/>
        <v>11229.39</v>
      </c>
      <c r="H16" s="20">
        <f t="shared" si="0"/>
        <v>18080.310000000056</v>
      </c>
      <c r="I16" s="9"/>
      <c r="J16" s="20">
        <f>I16+октябрь!J16</f>
        <v>0</v>
      </c>
      <c r="K16" s="8"/>
      <c r="L16" s="18">
        <f>K16+октябрь!L16</f>
        <v>0</v>
      </c>
      <c r="M16" s="25"/>
    </row>
    <row r="17" spans="1:13" ht="14.1" customHeight="1">
      <c r="A17" s="1">
        <f t="shared" si="1"/>
        <v>15</v>
      </c>
      <c r="B17" s="34" t="str">
        <f>октябрь!B17</f>
        <v>Эксплуатация общедомовых ПУ</v>
      </c>
      <c r="C17" s="8">
        <f>3359.78+572.94</f>
        <v>3932.7200000000003</v>
      </c>
      <c r="D17" s="18">
        <f>C17+октябрь!D17</f>
        <v>37462.850000000006</v>
      </c>
      <c r="E17" s="9">
        <f>4086.21+443.38</f>
        <v>4529.59</v>
      </c>
      <c r="F17" s="18">
        <f>E17+октябрь!F17</f>
        <v>40196</v>
      </c>
      <c r="G17" s="18">
        <f t="shared" si="0"/>
        <v>596.86999999999989</v>
      </c>
      <c r="H17" s="20">
        <f t="shared" si="0"/>
        <v>2733.1499999999942</v>
      </c>
      <c r="I17" s="9"/>
      <c r="J17" s="20">
        <f>I17+октябрь!J17</f>
        <v>0</v>
      </c>
      <c r="K17" s="8"/>
      <c r="L17" s="18">
        <f>K17+октябрь!L17</f>
        <v>0</v>
      </c>
      <c r="M17" s="25"/>
    </row>
    <row r="18" spans="1:13" ht="14.1" customHeight="1">
      <c r="A18" s="1">
        <f t="shared" si="1"/>
        <v>16</v>
      </c>
      <c r="B18" s="34" t="str">
        <f>октябрь!B18</f>
        <v>Хол.водоснабжение(о/д нужды)</v>
      </c>
      <c r="C18" s="8">
        <f>1511.82+257.31</f>
        <v>1769.1299999999999</v>
      </c>
      <c r="D18" s="18">
        <f>C18+октябрь!D18</f>
        <v>18907.48</v>
      </c>
      <c r="E18" s="9">
        <f>2714.56+203.26</f>
        <v>2917.8199999999997</v>
      </c>
      <c r="F18" s="18">
        <f>E18+октябрь!F18</f>
        <v>23840.86</v>
      </c>
      <c r="G18" s="18">
        <f t="shared" si="0"/>
        <v>1148.6899999999998</v>
      </c>
      <c r="H18" s="20">
        <f t="shared" si="0"/>
        <v>4933.380000000001</v>
      </c>
      <c r="I18" s="9"/>
      <c r="J18" s="20">
        <f>I18+октябрь!J18</f>
        <v>0</v>
      </c>
      <c r="K18" s="8"/>
      <c r="L18" s="18">
        <f>K18+октябрь!L18</f>
        <v>0</v>
      </c>
      <c r="M18" s="25"/>
    </row>
    <row r="19" spans="1:13" ht="14.1" customHeight="1">
      <c r="A19" s="1">
        <f t="shared" si="1"/>
        <v>17</v>
      </c>
      <c r="B19" s="34" t="str">
        <f>октябрь!B19</f>
        <v>Водоотведение(о/д нужды)</v>
      </c>
      <c r="C19" s="8">
        <f>0+0</f>
        <v>0</v>
      </c>
      <c r="D19" s="18">
        <f>C19+октябрь!D19</f>
        <v>0</v>
      </c>
      <c r="E19" s="8">
        <f>0+0</f>
        <v>0</v>
      </c>
      <c r="F19" s="18">
        <f>E19+октябрь!F19</f>
        <v>226.65</v>
      </c>
      <c r="G19" s="18">
        <f t="shared" si="0"/>
        <v>0</v>
      </c>
      <c r="H19" s="20">
        <f t="shared" si="0"/>
        <v>226.65</v>
      </c>
      <c r="I19" s="9"/>
      <c r="J19" s="20">
        <f>I19+октябрь!J19</f>
        <v>0</v>
      </c>
      <c r="K19" s="8"/>
      <c r="L19" s="18">
        <f>K19+октябрь!L19</f>
        <v>0</v>
      </c>
      <c r="M19" s="25"/>
    </row>
    <row r="20" spans="1:13" ht="14.1" customHeight="1">
      <c r="A20" s="1">
        <f t="shared" si="1"/>
        <v>18</v>
      </c>
      <c r="B20" s="34" t="str">
        <f>октябрь!B20</f>
        <v>Отопление (о/д нужды)</v>
      </c>
      <c r="C20" s="8">
        <f>0+0</f>
        <v>0</v>
      </c>
      <c r="D20" s="18">
        <f>C20+октябрь!D20</f>
        <v>0</v>
      </c>
      <c r="E20" s="8">
        <f>0+0</f>
        <v>0</v>
      </c>
      <c r="F20" s="18">
        <f>E20+октябрь!F20</f>
        <v>1286.5400000000002</v>
      </c>
      <c r="G20" s="18">
        <f t="shared" si="0"/>
        <v>0</v>
      </c>
      <c r="H20" s="20">
        <f t="shared" si="0"/>
        <v>1286.5400000000002</v>
      </c>
      <c r="I20" s="9"/>
      <c r="J20" s="20">
        <f>I20+октябрь!J20</f>
        <v>0</v>
      </c>
      <c r="K20" s="8"/>
      <c r="L20" s="18">
        <f>K20+октябрь!L20</f>
        <v>0</v>
      </c>
      <c r="M20" s="25"/>
    </row>
    <row r="21" spans="1:13" ht="14.1" customHeight="1">
      <c r="A21" s="1">
        <f t="shared" si="1"/>
        <v>19</v>
      </c>
      <c r="B21" s="34" t="str">
        <f>октябрь!B21</f>
        <v>Электроснабжение(оющед.нужд)</v>
      </c>
      <c r="C21" s="8">
        <f>38884.52+6631.1</f>
        <v>45515.619999999995</v>
      </c>
      <c r="D21" s="18">
        <f>C21+октябрь!D21</f>
        <v>390351.83000000007</v>
      </c>
      <c r="E21" s="9">
        <f>35398.13+2909.29</f>
        <v>38307.42</v>
      </c>
      <c r="F21" s="18">
        <f>E21+октябрь!F21</f>
        <v>411740.68</v>
      </c>
      <c r="G21" s="18">
        <f t="shared" si="0"/>
        <v>-7208.1999999999971</v>
      </c>
      <c r="H21" s="20">
        <f t="shared" si="0"/>
        <v>21388.849999999919</v>
      </c>
      <c r="I21" s="9"/>
      <c r="J21" s="20">
        <f>I21+октябрь!J21</f>
        <v>0</v>
      </c>
      <c r="K21" s="8"/>
      <c r="L21" s="18">
        <f>K21+октябрь!L21</f>
        <v>0</v>
      </c>
      <c r="M21" s="25"/>
    </row>
    <row r="22" spans="1:13" ht="14.1" customHeight="1">
      <c r="A22" s="1">
        <f t="shared" si="1"/>
        <v>20</v>
      </c>
      <c r="B22" s="34" t="str">
        <f>октябрь!B22</f>
        <v>Горячее водоснабжение(о/д нужды)</v>
      </c>
      <c r="C22" s="8">
        <f>3357.07+569.08</f>
        <v>3926.15</v>
      </c>
      <c r="D22" s="18">
        <f>C22+октябрь!D22</f>
        <v>43249.680000000008</v>
      </c>
      <c r="E22" s="9">
        <f>4206.97+452.07</f>
        <v>4659.04</v>
      </c>
      <c r="F22" s="18">
        <f>E22+октябрь!F22</f>
        <v>42905.68</v>
      </c>
      <c r="G22" s="18">
        <f t="shared" si="0"/>
        <v>732.88999999999987</v>
      </c>
      <c r="H22" s="20">
        <f t="shared" si="0"/>
        <v>-344.00000000000728</v>
      </c>
      <c r="I22" s="9"/>
      <c r="J22" s="20">
        <f>I22+октябрь!J22</f>
        <v>0</v>
      </c>
      <c r="K22" s="8"/>
      <c r="L22" s="18">
        <f>K22+октябрь!L22</f>
        <v>0</v>
      </c>
      <c r="M22" s="25"/>
    </row>
    <row r="23" spans="1:13" ht="14.1" customHeight="1">
      <c r="A23" s="22"/>
      <c r="B23" s="38" t="s">
        <v>12</v>
      </c>
      <c r="C23" s="18">
        <f t="shared" ref="C23:L23" si="2">SUM(C3:C22)</f>
        <v>812454.76000000013</v>
      </c>
      <c r="D23" s="18">
        <f t="shared" si="2"/>
        <v>6858227.4800000004</v>
      </c>
      <c r="E23" s="20">
        <f t="shared" si="2"/>
        <v>774790.7200000002</v>
      </c>
      <c r="F23" s="18">
        <f t="shared" si="2"/>
        <v>7245359.7999999998</v>
      </c>
      <c r="G23" s="18">
        <f t="shared" si="2"/>
        <v>-37664.039999999986</v>
      </c>
      <c r="H23" s="20">
        <f t="shared" si="2"/>
        <v>387132.31999999972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3" ht="4.5" customHeight="1"/>
    <row r="26" spans="1:13" hidden="1"/>
    <row r="27" spans="1:13" hidden="1"/>
    <row r="28" spans="1:13">
      <c r="B28" s="1" t="s">
        <v>38</v>
      </c>
      <c r="C28" s="9">
        <f>C11+C12+C13+C16+C18+C19</f>
        <v>150017.56</v>
      </c>
      <c r="D28" s="9">
        <f t="shared" ref="D28:J28" si="3">D11+D12+D13+D16+D18+D19</f>
        <v>1434578.75</v>
      </c>
      <c r="E28" s="9">
        <f t="shared" si="3"/>
        <v>167699.1</v>
      </c>
      <c r="F28" s="9">
        <f t="shared" si="3"/>
        <v>1464195.1300000001</v>
      </c>
      <c r="G28" s="9">
        <f t="shared" si="3"/>
        <v>17681.539999999997</v>
      </c>
      <c r="H28" s="9">
        <f t="shared" si="3"/>
        <v>29616.380000000096</v>
      </c>
      <c r="I28" s="9">
        <f t="shared" si="3"/>
        <v>0</v>
      </c>
      <c r="J28" s="9">
        <f t="shared" si="3"/>
        <v>0</v>
      </c>
    </row>
    <row r="29" spans="1:13">
      <c r="B29" s="1" t="s">
        <v>39</v>
      </c>
      <c r="C29" s="9">
        <f>C10+C21</f>
        <v>140213.53</v>
      </c>
      <c r="D29" s="9">
        <f t="shared" ref="D29:J29" si="4">D10+D21</f>
        <v>1297361.5700000003</v>
      </c>
      <c r="E29" s="9">
        <f t="shared" si="4"/>
        <v>141322.87</v>
      </c>
      <c r="F29" s="9">
        <f t="shared" si="4"/>
        <v>1346115.67</v>
      </c>
      <c r="G29" s="9">
        <f t="shared" si="4"/>
        <v>1109.3399999999965</v>
      </c>
      <c r="H29" s="9">
        <f t="shared" si="4"/>
        <v>48754.099999999686</v>
      </c>
      <c r="I29" s="9">
        <f t="shared" si="4"/>
        <v>0</v>
      </c>
      <c r="J29" s="9">
        <f t="shared" si="4"/>
        <v>0</v>
      </c>
    </row>
    <row r="30" spans="1:13">
      <c r="B30" s="1" t="s">
        <v>40</v>
      </c>
      <c r="C30" s="9">
        <f>C4+C5+C20+C22</f>
        <v>354460.57</v>
      </c>
      <c r="D30" s="9">
        <f t="shared" ref="D30:J30" si="5">D4+D5+D20+D22</f>
        <v>2574920.52</v>
      </c>
      <c r="E30" s="9">
        <f t="shared" si="5"/>
        <v>278827.75</v>
      </c>
      <c r="F30" s="9">
        <f t="shared" si="5"/>
        <v>2793891.8299999996</v>
      </c>
      <c r="G30" s="9">
        <f t="shared" si="5"/>
        <v>-75632.819999999978</v>
      </c>
      <c r="H30" s="9">
        <f t="shared" si="5"/>
        <v>218971.30999999979</v>
      </c>
      <c r="I30" s="9">
        <f t="shared" si="5"/>
        <v>0</v>
      </c>
      <c r="J30" s="9">
        <f t="shared" si="5"/>
        <v>0</v>
      </c>
    </row>
    <row r="33" spans="4:5">
      <c r="D33">
        <v>684301.97</v>
      </c>
      <c r="E33">
        <v>686004.95</v>
      </c>
    </row>
    <row r="34" spans="4:5">
      <c r="D34">
        <v>128152.79</v>
      </c>
      <c r="E34">
        <v>88785.77</v>
      </c>
    </row>
    <row r="35" spans="4:5">
      <c r="D35" s="11">
        <f>D33+D34</f>
        <v>812454.76</v>
      </c>
      <c r="E35" s="11">
        <f>E33+E34</f>
        <v>774790.72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G40" sqref="G40"/>
    </sheetView>
  </sheetViews>
  <sheetFormatPr defaultRowHeight="12.75"/>
  <cols>
    <col min="1" max="1" width="3.7109375" customWidth="1"/>
    <col min="2" max="2" width="32.140625" customWidth="1"/>
    <col min="3" max="3" width="16.7109375" customWidth="1"/>
    <col min="4" max="4" width="12.140625" customWidth="1"/>
    <col min="5" max="5" width="16.140625" customWidth="1"/>
    <col min="6" max="6" width="11.5703125" customWidth="1"/>
    <col min="7" max="7" width="10.7109375" customWidth="1"/>
    <col min="8" max="8" width="12.5703125" customWidth="1"/>
    <col min="9" max="9" width="10.140625" bestFit="1" customWidth="1"/>
    <col min="10" max="10" width="12.140625" customWidth="1"/>
    <col min="11" max="11" width="9.28515625" bestFit="1" customWidth="1"/>
    <col min="12" max="12" width="11.28515625" customWidth="1"/>
    <col min="13" max="13" width="10.7109375" bestFit="1" customWidth="1"/>
  </cols>
  <sheetData>
    <row r="1" spans="1:13">
      <c r="B1" s="11" t="s">
        <v>44</v>
      </c>
    </row>
    <row r="2" spans="1:13" ht="38.25">
      <c r="A2" s="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 ht="14.1" customHeight="1">
      <c r="A3" s="1">
        <v>1</v>
      </c>
      <c r="B3" s="34" t="str">
        <f>ноябрь!B3</f>
        <v>Содержание общ.имущ.дома</v>
      </c>
      <c r="C3" s="8">
        <f>59951.64+2596.94</f>
        <v>62548.58</v>
      </c>
      <c r="D3" s="18">
        <f>C3+ноябрь!D3</f>
        <v>733468.91999999981</v>
      </c>
      <c r="E3" s="9">
        <f>69900.96+7892.04</f>
        <v>77793</v>
      </c>
      <c r="F3" s="18">
        <f>E3+ноябрь!F3</f>
        <v>772989.34</v>
      </c>
      <c r="G3" s="18">
        <f>E3-C3</f>
        <v>15244.419999999998</v>
      </c>
      <c r="H3" s="20">
        <f>F3-D3</f>
        <v>39520.420000000158</v>
      </c>
      <c r="I3" s="9"/>
      <c r="J3" s="20">
        <f>I3+ноябрь!J3</f>
        <v>0</v>
      </c>
      <c r="K3" s="8"/>
      <c r="L3" s="18">
        <f>ноябрь!L3</f>
        <v>0</v>
      </c>
    </row>
    <row r="4" spans="1:13" ht="14.1" customHeight="1">
      <c r="A4" s="1">
        <f>A3+1</f>
        <v>2</v>
      </c>
      <c r="B4" s="34" t="str">
        <f>ноябрь!B4</f>
        <v>Отопление</v>
      </c>
      <c r="C4" s="8">
        <f>201336.65+17714.51</f>
        <v>219051.16</v>
      </c>
      <c r="D4" s="18">
        <f>C4+ноябрь!D4</f>
        <v>1374629.0999999999</v>
      </c>
      <c r="E4" s="9">
        <f>160013.49+23998.83</f>
        <v>184012.32</v>
      </c>
      <c r="F4" s="18">
        <f>E4+ноябрь!F4</f>
        <v>1554980.0199999998</v>
      </c>
      <c r="G4" s="18">
        <f t="shared" ref="G4:H22" si="0">E4-C4</f>
        <v>-35038.839999999997</v>
      </c>
      <c r="H4" s="20">
        <f t="shared" si="0"/>
        <v>180350.91999999993</v>
      </c>
      <c r="I4" s="9"/>
      <c r="J4" s="20">
        <f>I4+ноябрь!J4</f>
        <v>0</v>
      </c>
      <c r="K4" s="8"/>
      <c r="L4" s="18">
        <f>ноябрь!L4</f>
        <v>0</v>
      </c>
      <c r="M4" s="25">
        <f>L4-J4</f>
        <v>0</v>
      </c>
    </row>
    <row r="5" spans="1:13" ht="14.1" customHeight="1">
      <c r="A5" s="1">
        <f t="shared" ref="A5:A22" si="1">A4+1</f>
        <v>3</v>
      </c>
      <c r="B5" s="34" t="str">
        <f>ноябрь!B5</f>
        <v>Горячее водоснабжение</v>
      </c>
      <c r="C5" s="8">
        <f>112150.4+14884.13</f>
        <v>127034.53</v>
      </c>
      <c r="D5" s="18">
        <f>C5+ноябрь!D5</f>
        <v>1503127.43</v>
      </c>
      <c r="E5" s="9">
        <f>133775.73+18921.27</f>
        <v>152697</v>
      </c>
      <c r="F5" s="18">
        <f>E5+ноябрь!F5</f>
        <v>1531428.91</v>
      </c>
      <c r="G5" s="18">
        <f t="shared" si="0"/>
        <v>25662.47</v>
      </c>
      <c r="H5" s="20">
        <f t="shared" si="0"/>
        <v>28301.479999999981</v>
      </c>
      <c r="I5" s="9"/>
      <c r="J5" s="20">
        <f>I5+ноябрь!J5</f>
        <v>0</v>
      </c>
      <c r="K5" s="8"/>
      <c r="L5" s="18">
        <f>ноябрь!L5</f>
        <v>0</v>
      </c>
    </row>
    <row r="6" spans="1:13" ht="14.1" customHeight="1">
      <c r="A6" s="1">
        <f t="shared" si="1"/>
        <v>4</v>
      </c>
      <c r="B6" s="34" t="str">
        <f>ноябрь!B6</f>
        <v>Сод.и ремонт АППЗ</v>
      </c>
      <c r="C6" s="8">
        <f>2222.76+63.65</f>
        <v>2286.4100000000003</v>
      </c>
      <c r="D6" s="18">
        <f>C6+ноябрь!D6</f>
        <v>28017.95</v>
      </c>
      <c r="E6" s="9">
        <f>2614.13+302.15</f>
        <v>2916.28</v>
      </c>
      <c r="F6" s="18">
        <f>E6+ноябрь!F6</f>
        <v>30196.400000000001</v>
      </c>
      <c r="G6" s="18">
        <f t="shared" si="0"/>
        <v>629.86999999999989</v>
      </c>
      <c r="H6" s="20">
        <f t="shared" si="0"/>
        <v>2178.4500000000007</v>
      </c>
      <c r="I6" s="9"/>
      <c r="J6" s="20">
        <f>I6+ноябрь!J6</f>
        <v>0</v>
      </c>
      <c r="K6" s="8"/>
      <c r="L6" s="18">
        <f>ноябрь!L6</f>
        <v>0</v>
      </c>
    </row>
    <row r="7" spans="1:13" ht="14.1" customHeight="1">
      <c r="A7" s="1">
        <f t="shared" si="1"/>
        <v>5</v>
      </c>
      <c r="B7" s="34" t="str">
        <f>ноябрь!B7</f>
        <v>Сод.и ремонт лифтов</v>
      </c>
      <c r="C7" s="8">
        <f>16771.66+2181.93</f>
        <v>18953.59</v>
      </c>
      <c r="D7" s="18">
        <f>C7+ноябрь!D7</f>
        <v>162039.76999999999</v>
      </c>
      <c r="E7" s="9">
        <f>19126.88+2517.81</f>
        <v>21644.690000000002</v>
      </c>
      <c r="F7" s="18">
        <f>E7+ноябрь!F7</f>
        <v>195850.12</v>
      </c>
      <c r="G7" s="18">
        <f t="shared" si="0"/>
        <v>2691.1000000000022</v>
      </c>
      <c r="H7" s="20">
        <f t="shared" si="0"/>
        <v>33810.350000000006</v>
      </c>
      <c r="I7" s="9"/>
      <c r="J7" s="20">
        <f>I7+ноябрь!J7</f>
        <v>0</v>
      </c>
      <c r="K7" s="8"/>
      <c r="L7" s="18">
        <f>ноябрь!L7</f>
        <v>0</v>
      </c>
    </row>
    <row r="8" spans="1:13" ht="14.1" customHeight="1">
      <c r="A8" s="1">
        <f t="shared" si="1"/>
        <v>6</v>
      </c>
      <c r="B8" s="34" t="str">
        <f>ноябрь!B8</f>
        <v>Очистка мусоропроводов</v>
      </c>
      <c r="C8" s="8">
        <f>7136.83+265.07</f>
        <v>7401.9</v>
      </c>
      <c r="D8" s="18">
        <f>C8+ноябрь!D8</f>
        <v>88420.12</v>
      </c>
      <c r="E8" s="9">
        <f>8404.56+940.55</f>
        <v>9345.1099999999988</v>
      </c>
      <c r="F8" s="18">
        <f>E8+ноябрь!F8</f>
        <v>94198.999999999985</v>
      </c>
      <c r="G8" s="18">
        <f t="shared" si="0"/>
        <v>1943.2099999999991</v>
      </c>
      <c r="H8" s="20">
        <f t="shared" si="0"/>
        <v>5778.8799999999901</v>
      </c>
      <c r="I8" s="9"/>
      <c r="J8" s="20">
        <f>I8+ноябрь!J8</f>
        <v>0</v>
      </c>
      <c r="K8" s="8"/>
      <c r="L8" s="18">
        <f>ноябрь!L8</f>
        <v>0</v>
      </c>
    </row>
    <row r="9" spans="1:13" ht="14.1" customHeight="1">
      <c r="A9" s="1">
        <f t="shared" si="1"/>
        <v>7</v>
      </c>
      <c r="B9" s="34" t="str">
        <f>ноябрь!B9</f>
        <v>Уборка и сан.очистка зем.уч.</v>
      </c>
      <c r="C9" s="8">
        <f>9244.7+468.3</f>
        <v>9713</v>
      </c>
      <c r="D9" s="18">
        <f>C9+ноябрь!D9</f>
        <v>107898.62999999999</v>
      </c>
      <c r="E9" s="9">
        <f>10708.96+1177.66</f>
        <v>11886.619999999999</v>
      </c>
      <c r="F9" s="18">
        <f>E9+ноябрь!F9</f>
        <v>112272.50999999998</v>
      </c>
      <c r="G9" s="18">
        <f t="shared" si="0"/>
        <v>2173.619999999999</v>
      </c>
      <c r="H9" s="20">
        <f t="shared" si="0"/>
        <v>4373.8799999999901</v>
      </c>
      <c r="I9" s="9"/>
      <c r="J9" s="20">
        <f>I9+ноябрь!J9</f>
        <v>0</v>
      </c>
      <c r="K9" s="8"/>
      <c r="L9" s="18">
        <f>ноябрь!L9</f>
        <v>0</v>
      </c>
    </row>
    <row r="10" spans="1:13" ht="14.1" customHeight="1">
      <c r="A10" s="1">
        <f t="shared" si="1"/>
        <v>8</v>
      </c>
      <c r="B10" s="34" t="str">
        <f>ноябрь!B10</f>
        <v>Электроснабжение(инд.потр)</v>
      </c>
      <c r="C10" s="8">
        <f>82975.12+3744.73</f>
        <v>86719.849999999991</v>
      </c>
      <c r="D10" s="18">
        <f>C10+ноябрь!D10</f>
        <v>993729.59000000008</v>
      </c>
      <c r="E10" s="9">
        <f>99008.98+11553.33</f>
        <v>110562.31</v>
      </c>
      <c r="F10" s="18">
        <f>E10+ноябрь!F10</f>
        <v>1044937.2999999998</v>
      </c>
      <c r="G10" s="18">
        <f t="shared" si="0"/>
        <v>23842.460000000006</v>
      </c>
      <c r="H10" s="20">
        <f t="shared" si="0"/>
        <v>51207.70999999973</v>
      </c>
      <c r="I10" s="9"/>
      <c r="J10" s="20">
        <f>I10+ноябрь!J10</f>
        <v>0</v>
      </c>
      <c r="K10" s="8"/>
      <c r="L10" s="18">
        <f>ноябрь!L10</f>
        <v>0</v>
      </c>
    </row>
    <row r="11" spans="1:13" ht="14.1" customHeight="1">
      <c r="A11" s="1">
        <f t="shared" si="1"/>
        <v>9</v>
      </c>
      <c r="B11" s="34" t="str">
        <f>ноябрь!B11</f>
        <v>Холодная вода</v>
      </c>
      <c r="C11" s="8">
        <f>44021.11+5614.2</f>
        <v>49635.31</v>
      </c>
      <c r="D11" s="18">
        <f>C11+ноябрь!D11</f>
        <v>571831.17999999993</v>
      </c>
      <c r="E11" s="9">
        <f>53566.79+7657.48</f>
        <v>61224.270000000004</v>
      </c>
      <c r="F11" s="18">
        <f>E11+ноябрь!F11</f>
        <v>589796.18000000005</v>
      </c>
      <c r="G11" s="18">
        <f t="shared" si="0"/>
        <v>11588.960000000006</v>
      </c>
      <c r="H11" s="20">
        <f t="shared" si="0"/>
        <v>17965.000000000116</v>
      </c>
      <c r="I11" s="9"/>
      <c r="J11" s="20">
        <f>I11+ноябрь!J11</f>
        <v>0</v>
      </c>
      <c r="K11" s="8"/>
      <c r="L11" s="18">
        <f>ноябрь!L11</f>
        <v>0</v>
      </c>
    </row>
    <row r="12" spans="1:13" ht="14.1" customHeight="1">
      <c r="A12" s="1">
        <f t="shared" si="1"/>
        <v>10</v>
      </c>
      <c r="B12" s="34" t="str">
        <f>ноябрь!B12</f>
        <v>Канализирование х.воды</v>
      </c>
      <c r="C12" s="8">
        <f>0+0</f>
        <v>0</v>
      </c>
      <c r="D12" s="18">
        <f>C12+ноябрь!D12</f>
        <v>0</v>
      </c>
      <c r="E12" s="8">
        <f>0+0</f>
        <v>0</v>
      </c>
      <c r="F12" s="18">
        <f>E12+ноябрь!F12</f>
        <v>0</v>
      </c>
      <c r="G12" s="18">
        <f t="shared" si="0"/>
        <v>0</v>
      </c>
      <c r="H12" s="20">
        <f t="shared" si="0"/>
        <v>0</v>
      </c>
      <c r="I12" s="9"/>
      <c r="J12" s="20">
        <f>I12+ноябрь!J12</f>
        <v>0</v>
      </c>
      <c r="K12" s="8"/>
      <c r="L12" s="18">
        <f>ноябрь!L12</f>
        <v>0</v>
      </c>
    </row>
    <row r="13" spans="1:13" ht="14.1" customHeight="1">
      <c r="A13" s="1">
        <f t="shared" si="1"/>
        <v>11</v>
      </c>
      <c r="B13" s="34" t="str">
        <f>ноябрь!B13</f>
        <v>Канализирование г.воды</v>
      </c>
      <c r="C13" s="8">
        <f>0+0</f>
        <v>0</v>
      </c>
      <c r="D13" s="18">
        <f>C13+ноябрь!D13</f>
        <v>0</v>
      </c>
      <c r="E13" s="8">
        <f>0+0</f>
        <v>0</v>
      </c>
      <c r="F13" s="18">
        <f>E13+ноябрь!F13</f>
        <v>0</v>
      </c>
      <c r="G13" s="18">
        <f t="shared" si="0"/>
        <v>0</v>
      </c>
      <c r="H13" s="20">
        <f t="shared" si="0"/>
        <v>0</v>
      </c>
      <c r="I13" s="9"/>
      <c r="J13" s="20">
        <f>I13+ноябрь!J13</f>
        <v>0</v>
      </c>
      <c r="K13" s="8"/>
      <c r="L13" s="18">
        <f>ноябрь!L13</f>
        <v>0</v>
      </c>
    </row>
    <row r="14" spans="1:13" ht="14.1" customHeight="1">
      <c r="A14" s="1">
        <f t="shared" si="1"/>
        <v>12</v>
      </c>
      <c r="B14" s="34" t="str">
        <f>ноябрь!B14</f>
        <v>Тек.ремонт общ.имущ.дома</v>
      </c>
      <c r="C14" s="8">
        <f>31371.15+1260.65</f>
        <v>32631.800000000003</v>
      </c>
      <c r="D14" s="18">
        <f>C14+ноябрь!D14</f>
        <v>385157.21999999991</v>
      </c>
      <c r="E14" s="9">
        <f>36980.71+4143.82</f>
        <v>41124.53</v>
      </c>
      <c r="F14" s="18">
        <f>E14+ноябрь!F14</f>
        <v>417908.65</v>
      </c>
      <c r="G14" s="18">
        <f t="shared" si="0"/>
        <v>8492.7299999999959</v>
      </c>
      <c r="H14" s="20">
        <f t="shared" si="0"/>
        <v>32751.430000000109</v>
      </c>
      <c r="I14" s="9"/>
      <c r="J14" s="20">
        <f>I14+ноябрь!J14</f>
        <v>0</v>
      </c>
      <c r="K14" s="8"/>
      <c r="L14" s="18">
        <f>ноябрь!L14</f>
        <v>0</v>
      </c>
    </row>
    <row r="15" spans="1:13" ht="14.1" customHeight="1">
      <c r="A15" s="1">
        <f t="shared" si="1"/>
        <v>13</v>
      </c>
      <c r="B15" s="34" t="str">
        <f>ноябрь!B15</f>
        <v>Управление многокварт.домом</v>
      </c>
      <c r="C15" s="8">
        <f>12982.9+907.5</f>
        <v>13890.4</v>
      </c>
      <c r="D15" s="18">
        <f>C15+ноябрь!D15</f>
        <v>156326.86000000002</v>
      </c>
      <c r="E15" s="9">
        <f>15087.37+1587.37</f>
        <v>16674.740000000002</v>
      </c>
      <c r="F15" s="18">
        <f>E15+ноябрь!F15</f>
        <v>158930.12</v>
      </c>
      <c r="G15" s="18">
        <f t="shared" si="0"/>
        <v>2784.340000000002</v>
      </c>
      <c r="H15" s="20">
        <f t="shared" si="0"/>
        <v>2603.2599999999802</v>
      </c>
      <c r="I15" s="9"/>
      <c r="J15" s="20">
        <f>I15+ноябрь!J15</f>
        <v>0</v>
      </c>
      <c r="K15" s="8"/>
      <c r="L15" s="18">
        <f>ноябрь!L15</f>
        <v>0</v>
      </c>
    </row>
    <row r="16" spans="1:13" ht="14.1" customHeight="1">
      <c r="A16" s="1">
        <f t="shared" si="1"/>
        <v>14</v>
      </c>
      <c r="B16" s="34" t="str">
        <f>ноябрь!B16</f>
        <v>Водоотведение (кв)</v>
      </c>
      <c r="C16" s="8">
        <f>75201.15+9465.88</f>
        <v>84667.03</v>
      </c>
      <c r="D16" s="18">
        <f>C16+ноябрь!D16</f>
        <v>978142.43</v>
      </c>
      <c r="E16" s="9">
        <f>90532.86+13087.08</f>
        <v>103619.94</v>
      </c>
      <c r="F16" s="18">
        <f>E16+ноябрь!F16</f>
        <v>1015175.6500000001</v>
      </c>
      <c r="G16" s="18">
        <f t="shared" si="0"/>
        <v>18952.910000000003</v>
      </c>
      <c r="H16" s="20">
        <f t="shared" si="0"/>
        <v>37033.220000000088</v>
      </c>
      <c r="I16" s="9"/>
      <c r="J16" s="20">
        <f>I16+ноябрь!J16</f>
        <v>0</v>
      </c>
      <c r="K16" s="8"/>
      <c r="L16" s="18">
        <f>ноябрь!L16</f>
        <v>0</v>
      </c>
    </row>
    <row r="17" spans="1:12" ht="14.1" customHeight="1">
      <c r="A17" s="1">
        <f t="shared" si="1"/>
        <v>15</v>
      </c>
      <c r="B17" s="34" t="str">
        <f>ноябрь!B17</f>
        <v>Эксплуатация общедомовых ПУ</v>
      </c>
      <c r="C17" s="8">
        <f>3334.16+88.19</f>
        <v>3422.35</v>
      </c>
      <c r="D17" s="18">
        <f>C17+ноябрь!D17</f>
        <v>40885.200000000004</v>
      </c>
      <c r="E17" s="9">
        <f>3900.52+474.5</f>
        <v>4375.0200000000004</v>
      </c>
      <c r="F17" s="18">
        <f>E17+ноябрь!F17</f>
        <v>44571.020000000004</v>
      </c>
      <c r="G17" s="18">
        <f t="shared" si="0"/>
        <v>952.67000000000053</v>
      </c>
      <c r="H17" s="20">
        <f t="shared" si="0"/>
        <v>3685.8199999999997</v>
      </c>
      <c r="I17" s="9"/>
      <c r="J17" s="20">
        <f>I17+ноябрь!J17</f>
        <v>0</v>
      </c>
      <c r="K17" s="8"/>
      <c r="L17" s="18">
        <f>ноябрь!L17</f>
        <v>0</v>
      </c>
    </row>
    <row r="18" spans="1:12" ht="14.1" customHeight="1">
      <c r="A18" s="1">
        <f t="shared" si="1"/>
        <v>16</v>
      </c>
      <c r="B18" s="34" t="str">
        <f>ноябрь!B18</f>
        <v>Хол.водоснабжение(о/д нужды)</v>
      </c>
      <c r="C18" s="8">
        <f>1500.63-296.12</f>
        <v>1204.5100000000002</v>
      </c>
      <c r="D18" s="18">
        <f>C18+ноябрь!D18</f>
        <v>20111.989999999998</v>
      </c>
      <c r="E18" s="9">
        <f>2016.57+372.44</f>
        <v>2389.0099999999998</v>
      </c>
      <c r="F18" s="18">
        <f>E18+ноябрь!F18</f>
        <v>26229.87</v>
      </c>
      <c r="G18" s="18">
        <f t="shared" si="0"/>
        <v>1184.4999999999995</v>
      </c>
      <c r="H18" s="20">
        <f t="shared" si="0"/>
        <v>6117.880000000001</v>
      </c>
      <c r="I18" s="9"/>
      <c r="J18" s="20">
        <f>I18+ноябрь!J18</f>
        <v>0</v>
      </c>
      <c r="K18" s="8"/>
      <c r="L18" s="18">
        <f>ноябрь!L18</f>
        <v>0</v>
      </c>
    </row>
    <row r="19" spans="1:12" ht="14.1" customHeight="1">
      <c r="A19" s="1">
        <f t="shared" si="1"/>
        <v>17</v>
      </c>
      <c r="B19" s="34" t="str">
        <f>ноябрь!B19</f>
        <v>Водоотведение(о/д нужды)</v>
      </c>
      <c r="C19" s="8">
        <f>0+0</f>
        <v>0</v>
      </c>
      <c r="D19" s="18">
        <f>C19+ноябрь!D19</f>
        <v>0</v>
      </c>
      <c r="E19" s="8">
        <f>0+0</f>
        <v>0</v>
      </c>
      <c r="F19" s="18">
        <f>E19+ноябрь!F19</f>
        <v>226.65</v>
      </c>
      <c r="G19" s="18">
        <f t="shared" si="0"/>
        <v>0</v>
      </c>
      <c r="H19" s="20">
        <f t="shared" si="0"/>
        <v>226.65</v>
      </c>
      <c r="I19" s="9"/>
      <c r="J19" s="20">
        <f>I19+ноябрь!J19</f>
        <v>0</v>
      </c>
      <c r="K19" s="8"/>
      <c r="L19" s="18">
        <f>ноябрь!L19</f>
        <v>0</v>
      </c>
    </row>
    <row r="20" spans="1:12" ht="14.1" customHeight="1">
      <c r="A20" s="1">
        <f t="shared" si="1"/>
        <v>18</v>
      </c>
      <c r="B20" s="34" t="str">
        <f>ноябрь!B20</f>
        <v>Отопление (о/д нужды)</v>
      </c>
      <c r="C20" s="8">
        <f>0+0</f>
        <v>0</v>
      </c>
      <c r="D20" s="18">
        <f>C20+ноябрь!D20</f>
        <v>0</v>
      </c>
      <c r="E20" s="8">
        <f>0+0</f>
        <v>0</v>
      </c>
      <c r="F20" s="18">
        <f>E20+ноябрь!F20</f>
        <v>1286.5400000000002</v>
      </c>
      <c r="G20" s="18">
        <f t="shared" si="0"/>
        <v>0</v>
      </c>
      <c r="H20" s="20">
        <f t="shared" si="0"/>
        <v>1286.5400000000002</v>
      </c>
      <c r="I20" s="9"/>
      <c r="J20" s="20">
        <f>I20+ноябрь!J20</f>
        <v>0</v>
      </c>
      <c r="K20" s="8"/>
      <c r="L20" s="18">
        <f>ноябрь!L20</f>
        <v>0</v>
      </c>
    </row>
    <row r="21" spans="1:12" ht="14.1" customHeight="1">
      <c r="A21" s="1">
        <f t="shared" si="1"/>
        <v>19</v>
      </c>
      <c r="B21" s="34" t="str">
        <f>ноябрь!B21</f>
        <v>Электроснабжение(оющед.нужд)</v>
      </c>
      <c r="C21" s="8">
        <f>42138.64+1245.78</f>
        <v>43384.42</v>
      </c>
      <c r="D21" s="18">
        <f>C21+ноябрь!D21</f>
        <v>433736.25000000006</v>
      </c>
      <c r="E21" s="9">
        <f>41205.23+7267.85</f>
        <v>48473.08</v>
      </c>
      <c r="F21" s="18">
        <f>E21+ноябрь!F21</f>
        <v>460213.76000000001</v>
      </c>
      <c r="G21" s="18">
        <f t="shared" si="0"/>
        <v>5088.6600000000035</v>
      </c>
      <c r="H21" s="20">
        <f t="shared" si="0"/>
        <v>26477.509999999951</v>
      </c>
      <c r="I21" s="9"/>
      <c r="J21" s="20">
        <f>I21+ноябрь!J21</f>
        <v>0</v>
      </c>
      <c r="K21" s="8"/>
      <c r="L21" s="18">
        <f>ноябрь!L21</f>
        <v>0</v>
      </c>
    </row>
    <row r="22" spans="1:12" ht="14.1" customHeight="1">
      <c r="A22" s="1">
        <f t="shared" si="1"/>
        <v>20</v>
      </c>
      <c r="B22" s="34" t="str">
        <f>ноябрь!B22</f>
        <v>Горячее водоснабжение(о/д нужды)</v>
      </c>
      <c r="C22" s="8">
        <f>3330.89+1950.62+54.05</f>
        <v>5335.56</v>
      </c>
      <c r="D22" s="18">
        <f>C22+ноябрь!D22</f>
        <v>48585.240000000005</v>
      </c>
      <c r="E22" s="9">
        <f>3794.03+386.36</f>
        <v>4180.3900000000003</v>
      </c>
      <c r="F22" s="18">
        <f>E22+ноябрь!F22</f>
        <v>47086.07</v>
      </c>
      <c r="G22" s="18">
        <f t="shared" si="0"/>
        <v>-1155.17</v>
      </c>
      <c r="H22" s="20">
        <f t="shared" si="0"/>
        <v>-1499.1700000000055</v>
      </c>
      <c r="I22" s="9"/>
      <c r="J22" s="20">
        <f>I22+ноябрь!J22</f>
        <v>0</v>
      </c>
      <c r="K22" s="8"/>
      <c r="L22" s="18">
        <f>ноябрь!L22</f>
        <v>0</v>
      </c>
    </row>
    <row r="23" spans="1:12" ht="14.1" customHeight="1">
      <c r="A23" s="22"/>
      <c r="B23" s="21" t="s">
        <v>12</v>
      </c>
      <c r="C23" s="18">
        <f t="shared" ref="C23:L23" si="2">SUM(C3:C22)</f>
        <v>767880.40000000026</v>
      </c>
      <c r="D23" s="18">
        <f t="shared" si="2"/>
        <v>7626107.8799999999</v>
      </c>
      <c r="E23" s="20">
        <f t="shared" si="2"/>
        <v>852918.31</v>
      </c>
      <c r="F23" s="18">
        <f t="shared" si="2"/>
        <v>8098278.1100000003</v>
      </c>
      <c r="G23" s="18">
        <f t="shared" si="2"/>
        <v>85037.910000000033</v>
      </c>
      <c r="H23" s="20">
        <f t="shared" si="2"/>
        <v>472170.2300000001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>
      <c r="B25" s="41" t="s">
        <v>36</v>
      </c>
      <c r="C25" s="9">
        <f t="shared" ref="C25:H25" si="3">C3+C6+C7+C8+C9+C14+C15+C17</f>
        <v>150848.03</v>
      </c>
      <c r="D25" s="9">
        <f t="shared" si="3"/>
        <v>1702214.6699999997</v>
      </c>
      <c r="E25" s="9">
        <f t="shared" si="3"/>
        <v>185759.98999999996</v>
      </c>
      <c r="F25" s="9">
        <f t="shared" si="3"/>
        <v>1826917.1600000001</v>
      </c>
      <c r="G25" s="9">
        <f t="shared" si="3"/>
        <v>34911.959999999992</v>
      </c>
      <c r="H25" s="9">
        <f t="shared" si="3"/>
        <v>124702.49000000022</v>
      </c>
    </row>
    <row r="26" spans="1:12" ht="4.5" customHeight="1"/>
    <row r="27" spans="1:12" hidden="1"/>
    <row r="28" spans="1:12">
      <c r="B28" s="42" t="s">
        <v>38</v>
      </c>
      <c r="C28" s="43">
        <f>C11+C12+C13+C16+C18+C19</f>
        <v>135506.85</v>
      </c>
      <c r="D28" s="43">
        <f>D11+D12+D13+D16+D18+D19</f>
        <v>1570085.5999999999</v>
      </c>
      <c r="E28" s="43">
        <f t="shared" ref="E28:H28" si="4">E11+E12+E13+E16+E18+E19</f>
        <v>167233.22000000003</v>
      </c>
      <c r="F28" s="43">
        <f t="shared" si="4"/>
        <v>1631428.35</v>
      </c>
      <c r="G28" s="43">
        <f t="shared" si="4"/>
        <v>31726.37000000001</v>
      </c>
      <c r="H28" s="43">
        <f t="shared" si="4"/>
        <v>61342.750000000211</v>
      </c>
      <c r="I28" s="43">
        <f t="shared" ref="I28:J28" si="5">I11+I12+I13+I16+I18+I19</f>
        <v>0</v>
      </c>
      <c r="J28" s="43">
        <f t="shared" si="5"/>
        <v>0</v>
      </c>
    </row>
    <row r="29" spans="1:12">
      <c r="B29" s="42" t="s">
        <v>39</v>
      </c>
      <c r="C29" s="43">
        <f>C10+C21</f>
        <v>130104.26999999999</v>
      </c>
      <c r="D29" s="43">
        <f>D10+D21</f>
        <v>1427465.84</v>
      </c>
      <c r="E29" s="43">
        <f t="shared" ref="E29:H29" si="6">E10+E21</f>
        <v>159035.39000000001</v>
      </c>
      <c r="F29" s="43">
        <f t="shared" si="6"/>
        <v>1505151.0599999998</v>
      </c>
      <c r="G29" s="43">
        <f t="shared" si="6"/>
        <v>28931.12000000001</v>
      </c>
      <c r="H29" s="43">
        <f t="shared" si="6"/>
        <v>77685.219999999681</v>
      </c>
      <c r="I29" s="43">
        <f t="shared" ref="I29:J29" si="7">I10+I21</f>
        <v>0</v>
      </c>
      <c r="J29" s="43">
        <f t="shared" si="7"/>
        <v>0</v>
      </c>
    </row>
    <row r="30" spans="1:12">
      <c r="B30" s="42" t="s">
        <v>40</v>
      </c>
      <c r="C30" s="43">
        <f>C4+C5+C20+C22</f>
        <v>351421.25</v>
      </c>
      <c r="D30" s="43">
        <f>D4+D5+D20+D22</f>
        <v>2926341.77</v>
      </c>
      <c r="E30" s="43">
        <f t="shared" ref="E30:H30" si="8">E4+E5+E20+E22</f>
        <v>340889.71</v>
      </c>
      <c r="F30" s="43">
        <f t="shared" si="8"/>
        <v>3134781.5399999996</v>
      </c>
      <c r="G30" s="43">
        <f t="shared" si="8"/>
        <v>-10531.539999999995</v>
      </c>
      <c r="H30" s="43">
        <f t="shared" si="8"/>
        <v>208439.7699999999</v>
      </c>
      <c r="I30" s="43">
        <f t="shared" ref="I30:J30" si="9">I4+I5+I20+I22</f>
        <v>0</v>
      </c>
      <c r="J30" s="43">
        <f t="shared" si="9"/>
        <v>0</v>
      </c>
    </row>
    <row r="34" spans="3:5">
      <c r="C34" s="70">
        <v>707621.01</v>
      </c>
      <c r="D34" s="70"/>
      <c r="E34" s="70">
        <v>750637.77</v>
      </c>
    </row>
    <row r="35" spans="3:5">
      <c r="C35" s="70">
        <v>60259.39</v>
      </c>
      <c r="D35" s="70"/>
      <c r="E35" s="70">
        <v>102280.54</v>
      </c>
    </row>
    <row r="36" spans="3:5">
      <c r="C36" s="71">
        <f>C35+C34</f>
        <v>767880.4</v>
      </c>
      <c r="D36" s="71">
        <f>E36-E23</f>
        <v>0</v>
      </c>
      <c r="E36" s="71">
        <f t="shared" ref="D36:E36" si="10">E35+E34</f>
        <v>852918.31</v>
      </c>
    </row>
    <row r="37" spans="3:5">
      <c r="C37" s="70"/>
      <c r="D37" s="70"/>
      <c r="E37" s="70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E4" sqref="E4"/>
    </sheetView>
  </sheetViews>
  <sheetFormatPr defaultRowHeight="12.75"/>
  <cols>
    <col min="1" max="1" width="4.140625" customWidth="1"/>
    <col min="2" max="2" width="21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/>
      <c r="D4" s="3" t="e">
        <f>#REF!+Январь!C4</f>
        <v>#REF!</v>
      </c>
      <c r="E4" s="2"/>
      <c r="F4" s="3" t="e">
        <f>#REF!+Январь!E4</f>
        <v>#REF!</v>
      </c>
      <c r="G4" s="3">
        <f>E4-C4</f>
        <v>0</v>
      </c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0</v>
      </c>
      <c r="D24" s="3" t="e">
        <f t="shared" si="1"/>
        <v>#REF!</v>
      </c>
      <c r="E24" s="2">
        <f t="shared" si="1"/>
        <v>0</v>
      </c>
      <c r="F24" s="3" t="e">
        <f t="shared" si="1"/>
        <v>#REF!</v>
      </c>
      <c r="G24" s="3">
        <f t="shared" si="1"/>
        <v>0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E14" sqref="E14"/>
    </sheetView>
  </sheetViews>
  <sheetFormatPr defaultRowHeight="12.75"/>
  <cols>
    <col min="1" max="1" width="4" customWidth="1"/>
    <col min="2" max="2" width="29.5703125" customWidth="1"/>
    <col min="3" max="3" width="11.85546875" customWidth="1"/>
    <col min="4" max="4" width="10.85546875" customWidth="1"/>
    <col min="5" max="5" width="10.7109375" customWidth="1"/>
    <col min="6" max="6" width="11.5703125" customWidth="1"/>
    <col min="7" max="7" width="11" customWidth="1"/>
    <col min="8" max="8" width="12.140625" customWidth="1"/>
    <col min="9" max="9" width="10.28515625" customWidth="1"/>
    <col min="10" max="10" width="11" customWidth="1"/>
    <col min="11" max="11" width="10.140625" bestFit="1" customWidth="1"/>
    <col min="12" max="12" width="10.28515625" customWidth="1"/>
    <col min="13" max="13" width="10.7109375" bestFit="1" customWidth="1"/>
  </cols>
  <sheetData>
    <row r="1" spans="1:13">
      <c r="E1" s="11"/>
      <c r="F1" s="12" t="s">
        <v>18</v>
      </c>
      <c r="G1" s="12"/>
    </row>
    <row r="2" spans="1:13" s="32" customFormat="1" ht="38.25">
      <c r="A2" s="31" t="s">
        <v>0</v>
      </c>
      <c r="B2" s="26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Январь!B3</f>
        <v>Содержание общ.имущ.дома</v>
      </c>
      <c r="C3" s="8">
        <f>6062.76+56075.95</f>
        <v>62138.71</v>
      </c>
      <c r="D3" s="18">
        <f>C3+Январь!D3</f>
        <v>127849.38999999998</v>
      </c>
      <c r="E3" s="9">
        <f>5598.57+43883.6</f>
        <v>49482.17</v>
      </c>
      <c r="F3" s="18">
        <f>E3+Январь!F3</f>
        <v>100157.97</v>
      </c>
      <c r="G3" s="18">
        <f>E3-C3</f>
        <v>-12656.54</v>
      </c>
      <c r="H3" s="20">
        <f>F3-D3</f>
        <v>-27691.419999999984</v>
      </c>
      <c r="I3" s="9"/>
      <c r="J3" s="20">
        <f>I3+Январь!J3</f>
        <v>0</v>
      </c>
      <c r="K3" s="8"/>
      <c r="L3" s="18">
        <f>K3+Январь!L3</f>
        <v>0</v>
      </c>
    </row>
    <row r="4" spans="1:13">
      <c r="A4" s="1">
        <f>A3+1</f>
        <v>2</v>
      </c>
      <c r="B4" s="34" t="str">
        <f>Январь!B4</f>
        <v>Отопление</v>
      </c>
      <c r="C4" s="8">
        <f>27912.7+227989.65</f>
        <v>255902.35</v>
      </c>
      <c r="D4" s="18">
        <f>C4+Январь!D4</f>
        <v>531728.91</v>
      </c>
      <c r="E4" s="9">
        <f>24270.61+172277.8</f>
        <v>196548.40999999997</v>
      </c>
      <c r="F4" s="18">
        <f>E4+Январь!F4</f>
        <v>374198.61</v>
      </c>
      <c r="G4" s="18">
        <f t="shared" ref="G4:H22" si="0">E4-C4</f>
        <v>-59353.940000000031</v>
      </c>
      <c r="H4" s="20">
        <f t="shared" si="0"/>
        <v>-157530.30000000005</v>
      </c>
      <c r="I4" s="9"/>
      <c r="J4" s="20">
        <f>I4+Январь!J4</f>
        <v>0</v>
      </c>
      <c r="K4" s="8"/>
      <c r="L4" s="18">
        <f>K4+Январь!L4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Январь!B5</f>
        <v>Горячее водоснабжение</v>
      </c>
      <c r="C5" s="8">
        <f>109572.77+18924.82</f>
        <v>128497.59</v>
      </c>
      <c r="D5" s="18">
        <f>C5+Январь!D5</f>
        <v>264096.46999999997</v>
      </c>
      <c r="E5" s="9">
        <f>13532+86081.41</f>
        <v>99613.41</v>
      </c>
      <c r="F5" s="18">
        <f>E5+Январь!F5</f>
        <v>197518.28</v>
      </c>
      <c r="G5" s="18">
        <f t="shared" si="0"/>
        <v>-28884.179999999993</v>
      </c>
      <c r="H5" s="20">
        <f t="shared" si="0"/>
        <v>-66578.189999999973</v>
      </c>
      <c r="I5" s="9"/>
      <c r="J5" s="20">
        <f>I5+Январь!J5</f>
        <v>0</v>
      </c>
      <c r="K5" s="8"/>
      <c r="L5" s="18">
        <f>K5+Январь!L5</f>
        <v>0</v>
      </c>
    </row>
    <row r="6" spans="1:13">
      <c r="A6" s="1">
        <f t="shared" si="1"/>
        <v>4</v>
      </c>
      <c r="B6" s="34" t="str">
        <f>Январь!B6</f>
        <v>Сод.и ремонт АППЗ</v>
      </c>
      <c r="C6" s="8">
        <f>234.57+2231.06</f>
        <v>2465.63</v>
      </c>
      <c r="D6" s="18">
        <f>C6+Январь!D6</f>
        <v>5079.26</v>
      </c>
      <c r="E6" s="9">
        <f>224.83+1759.66</f>
        <v>1984.49</v>
      </c>
      <c r="F6" s="18">
        <f>E6+Январь!F6</f>
        <v>4059.49</v>
      </c>
      <c r="G6" s="18">
        <f t="shared" si="0"/>
        <v>-481.1400000000001</v>
      </c>
      <c r="H6" s="20">
        <f t="shared" si="0"/>
        <v>-1019.7700000000004</v>
      </c>
      <c r="I6" s="9"/>
      <c r="J6" s="20">
        <f>I6+Январь!J6</f>
        <v>0</v>
      </c>
      <c r="K6" s="8"/>
      <c r="L6" s="18">
        <f>K6+Январь!L6</f>
        <v>0</v>
      </c>
    </row>
    <row r="7" spans="1:13">
      <c r="A7" s="1">
        <f t="shared" si="1"/>
        <v>5</v>
      </c>
      <c r="B7" s="35" t="str">
        <f>Январь!B7</f>
        <v>Сод.и ремонт лифтов</v>
      </c>
      <c r="C7" s="8">
        <f>1690.23+16073.57</f>
        <v>17763.8</v>
      </c>
      <c r="D7" s="18">
        <f>C7+Январь!D7</f>
        <v>36593.85</v>
      </c>
      <c r="E7" s="9">
        <f>1620.1+12685.94</f>
        <v>14306.04</v>
      </c>
      <c r="F7" s="18">
        <f>E7+Январь!F7</f>
        <v>29259.08</v>
      </c>
      <c r="G7" s="18">
        <f t="shared" si="0"/>
        <v>-3457.7599999999984</v>
      </c>
      <c r="H7" s="20">
        <f t="shared" si="0"/>
        <v>-7334.7699999999968</v>
      </c>
      <c r="I7" s="9"/>
      <c r="J7" s="20">
        <f>I7+Январь!J7</f>
        <v>0</v>
      </c>
      <c r="K7" s="8"/>
      <c r="L7" s="18">
        <f>K7+Январь!L7</f>
        <v>0</v>
      </c>
    </row>
    <row r="8" spans="1:13">
      <c r="A8" s="1">
        <f t="shared" si="1"/>
        <v>6</v>
      </c>
      <c r="B8" s="34" t="str">
        <f>Январь!B8</f>
        <v>Очистка мусоропроводов</v>
      </c>
      <c r="C8" s="8">
        <f>725.16+6860.84</f>
        <v>7586</v>
      </c>
      <c r="D8" s="18">
        <f>C8+Январь!D8</f>
        <v>15629.43</v>
      </c>
      <c r="E8" s="9">
        <f>695.06+5437.01</f>
        <v>6132.07</v>
      </c>
      <c r="F8" s="18">
        <f>E8+Январь!F8</f>
        <v>12476.11</v>
      </c>
      <c r="G8" s="18">
        <f t="shared" si="0"/>
        <v>-1453.9300000000003</v>
      </c>
      <c r="H8" s="20">
        <f t="shared" si="0"/>
        <v>-3153.3199999999997</v>
      </c>
      <c r="I8" s="9"/>
      <c r="J8" s="20">
        <f>I8+Январь!J8</f>
        <v>0</v>
      </c>
      <c r="K8" s="8"/>
      <c r="L8" s="18">
        <f>K8+Январь!L8</f>
        <v>0</v>
      </c>
    </row>
    <row r="9" spans="1:13">
      <c r="A9" s="1">
        <f t="shared" si="1"/>
        <v>7</v>
      </c>
      <c r="B9" s="34" t="str">
        <f>Январь!B9</f>
        <v>Уборка и сан.очистка зем.уч.</v>
      </c>
      <c r="C9" s="8">
        <f>810.44+7707.2</f>
        <v>8517.64</v>
      </c>
      <c r="D9" s="18">
        <f>C9+Январь!D9</f>
        <v>17546.55</v>
      </c>
      <c r="E9" s="9">
        <f>776.83+6077.16</f>
        <v>6853.99</v>
      </c>
      <c r="F9" s="18">
        <f>E9+Январь!F9</f>
        <v>14021.61</v>
      </c>
      <c r="G9" s="18">
        <f t="shared" si="0"/>
        <v>-1663.6499999999996</v>
      </c>
      <c r="H9" s="20">
        <f t="shared" si="0"/>
        <v>-3524.9399999999987</v>
      </c>
      <c r="I9" s="9"/>
      <c r="J9" s="20">
        <f>I9+Январь!J9</f>
        <v>0</v>
      </c>
      <c r="K9" s="8"/>
      <c r="L9" s="18">
        <f>K9+Январь!L9</f>
        <v>0</v>
      </c>
    </row>
    <row r="10" spans="1:13">
      <c r="A10" s="1">
        <f t="shared" si="1"/>
        <v>8</v>
      </c>
      <c r="B10" s="34" t="str">
        <f>Январь!B10</f>
        <v>Электроснабжение(инд.потр)</v>
      </c>
      <c r="C10" s="8">
        <f>11056.32+70743.01</f>
        <v>81799.329999999987</v>
      </c>
      <c r="D10" s="18">
        <f>C10+Январь!D10</f>
        <v>167002.15999999997</v>
      </c>
      <c r="E10" s="9">
        <f>8347.43+58331.07</f>
        <v>66678.5</v>
      </c>
      <c r="F10" s="18">
        <f>E10+Январь!F10</f>
        <v>131688.49</v>
      </c>
      <c r="G10" s="18">
        <f t="shared" si="0"/>
        <v>-15120.829999999987</v>
      </c>
      <c r="H10" s="20">
        <f t="shared" si="0"/>
        <v>-35313.669999999984</v>
      </c>
      <c r="I10" s="9"/>
      <c r="J10" s="20">
        <f>I10+Январь!J10</f>
        <v>0</v>
      </c>
      <c r="K10" s="8"/>
      <c r="L10" s="18">
        <f>K10+Январь!L10</f>
        <v>0</v>
      </c>
    </row>
    <row r="11" spans="1:13">
      <c r="A11" s="1">
        <f t="shared" si="1"/>
        <v>9</v>
      </c>
      <c r="B11" s="34" t="str">
        <f>Январь!B11</f>
        <v>Холодная вода</v>
      </c>
      <c r="C11" s="8">
        <f>6849.25+40711.22</f>
        <v>47560.47</v>
      </c>
      <c r="D11" s="18">
        <f>C11+Январь!D11</f>
        <v>96766.399999999994</v>
      </c>
      <c r="E11" s="9">
        <f>5240.99+32152.46</f>
        <v>37393.449999999997</v>
      </c>
      <c r="F11" s="18">
        <f>E11+Январь!F11</f>
        <v>74884.42</v>
      </c>
      <c r="G11" s="18">
        <f t="shared" si="0"/>
        <v>-10167.020000000004</v>
      </c>
      <c r="H11" s="20">
        <f t="shared" si="0"/>
        <v>-21881.979999999996</v>
      </c>
      <c r="I11" s="9"/>
      <c r="J11" s="20">
        <f>I11+Январь!J11</f>
        <v>0</v>
      </c>
      <c r="K11" s="8"/>
      <c r="L11" s="18">
        <f>K11+Январь!L11</f>
        <v>0</v>
      </c>
    </row>
    <row r="12" spans="1:13">
      <c r="A12" s="1">
        <f t="shared" si="1"/>
        <v>10</v>
      </c>
      <c r="B12" s="34" t="str">
        <f>Январь!B12</f>
        <v>Канализирование х.воды</v>
      </c>
      <c r="C12" s="8">
        <v>0</v>
      </c>
      <c r="D12" s="18">
        <f>C12+Январь!D12</f>
        <v>0</v>
      </c>
      <c r="E12" s="9">
        <v>0</v>
      </c>
      <c r="F12" s="18">
        <f>E12+Январь!F12</f>
        <v>0</v>
      </c>
      <c r="G12" s="18">
        <f t="shared" si="0"/>
        <v>0</v>
      </c>
      <c r="H12" s="20">
        <f t="shared" si="0"/>
        <v>0</v>
      </c>
      <c r="I12" s="9"/>
      <c r="J12" s="20">
        <f>I12+Январь!J12</f>
        <v>0</v>
      </c>
      <c r="K12" s="8"/>
      <c r="L12" s="18">
        <f>K12+Январь!L12</f>
        <v>0</v>
      </c>
    </row>
    <row r="13" spans="1:13">
      <c r="A13" s="1">
        <f t="shared" si="1"/>
        <v>11</v>
      </c>
      <c r="B13" s="34" t="str">
        <f>Январь!B13</f>
        <v>Канализирование г.воды</v>
      </c>
      <c r="C13" s="8">
        <v>0</v>
      </c>
      <c r="D13" s="18">
        <f>C13+Январь!D13</f>
        <v>0</v>
      </c>
      <c r="E13" s="9">
        <v>0</v>
      </c>
      <c r="F13" s="18">
        <f>E13+Январь!F13</f>
        <v>0</v>
      </c>
      <c r="G13" s="18">
        <f t="shared" si="0"/>
        <v>0</v>
      </c>
      <c r="H13" s="20">
        <f t="shared" si="0"/>
        <v>0</v>
      </c>
      <c r="I13" s="9"/>
      <c r="J13" s="20">
        <f>I13+Январь!J13</f>
        <v>0</v>
      </c>
      <c r="K13" s="8"/>
      <c r="L13" s="18">
        <f>K13+Январь!L13</f>
        <v>0</v>
      </c>
    </row>
    <row r="14" spans="1:13">
      <c r="A14" s="1">
        <f t="shared" si="1"/>
        <v>12</v>
      </c>
      <c r="B14" s="34" t="str">
        <f>Январь!B14</f>
        <v>Тек.ремонт общ.имущ.дома</v>
      </c>
      <c r="C14" s="8">
        <f>3113.89+29611.91</f>
        <v>32725.8</v>
      </c>
      <c r="D14" s="18">
        <f>C14+Январь!D14</f>
        <v>67415.91</v>
      </c>
      <c r="E14" s="9">
        <f>2984.57+23600.35</f>
        <v>26584.92</v>
      </c>
      <c r="F14" s="18">
        <f>E14+Январь!F14</f>
        <v>54362.89</v>
      </c>
      <c r="G14" s="18">
        <f t="shared" si="0"/>
        <v>-6140.880000000001</v>
      </c>
      <c r="H14" s="20">
        <f t="shared" si="0"/>
        <v>-13053.020000000004</v>
      </c>
      <c r="I14" s="9"/>
      <c r="J14" s="20">
        <f>I14+Январь!J14</f>
        <v>0</v>
      </c>
      <c r="K14" s="8"/>
      <c r="L14" s="18">
        <f>K14+Январь!L14</f>
        <v>0</v>
      </c>
    </row>
    <row r="15" spans="1:13">
      <c r="A15" s="1">
        <f t="shared" si="1"/>
        <v>13</v>
      </c>
      <c r="B15" s="34" t="str">
        <f>Январь!B15</f>
        <v>Управление многокварт.домом</v>
      </c>
      <c r="C15" s="8">
        <f>1221.03+11611.5</f>
        <v>12832.53</v>
      </c>
      <c r="D15" s="18">
        <f>C15+Январь!D15</f>
        <v>26435.33</v>
      </c>
      <c r="E15" s="9">
        <f>1170.14+8931.79</f>
        <v>10101.93</v>
      </c>
      <c r="F15" s="18">
        <f>E15+Январь!F15</f>
        <v>20814.25</v>
      </c>
      <c r="G15" s="18">
        <f t="shared" si="0"/>
        <v>-2730.6000000000004</v>
      </c>
      <c r="H15" s="20">
        <f t="shared" si="0"/>
        <v>-5621.0800000000017</v>
      </c>
      <c r="I15" s="9"/>
      <c r="J15" s="20">
        <f>I15+Январь!J15</f>
        <v>0</v>
      </c>
      <c r="K15" s="8"/>
      <c r="L15" s="18">
        <f>K15+Январь!L15</f>
        <v>0</v>
      </c>
    </row>
    <row r="16" spans="1:13">
      <c r="A16" s="1">
        <f t="shared" si="1"/>
        <v>14</v>
      </c>
      <c r="B16" s="34" t="str">
        <f>Январь!B16</f>
        <v>Водоотведение (кв)</v>
      </c>
      <c r="C16" s="8">
        <f>11634.22+69345.99</f>
        <v>80980.210000000006</v>
      </c>
      <c r="D16" s="18">
        <f>C16+Январь!D16</f>
        <v>165596.03000000003</v>
      </c>
      <c r="E16" s="9">
        <f>9087.62+55116.83</f>
        <v>64204.450000000004</v>
      </c>
      <c r="F16" s="18">
        <f>E16+Январь!F16</f>
        <v>128554.15</v>
      </c>
      <c r="G16" s="18">
        <f t="shared" si="0"/>
        <v>-16775.760000000002</v>
      </c>
      <c r="H16" s="20">
        <f t="shared" si="0"/>
        <v>-37041.880000000034</v>
      </c>
      <c r="I16" s="9"/>
      <c r="J16" s="20">
        <f>I16+Январь!J16</f>
        <v>0</v>
      </c>
      <c r="K16" s="8"/>
      <c r="L16" s="18">
        <f>K16+Январь!L16</f>
        <v>0</v>
      </c>
    </row>
    <row r="17" spans="1:12">
      <c r="A17" s="1">
        <f t="shared" si="1"/>
        <v>15</v>
      </c>
      <c r="B17" s="34" t="str">
        <f>Январь!B17</f>
        <v>Эксплуатация общедомовых ПУ</v>
      </c>
      <c r="C17" s="8">
        <f>330.58+3143.77</f>
        <v>3474.35</v>
      </c>
      <c r="D17" s="18">
        <f>C17+Январь!D17</f>
        <v>7157.26</v>
      </c>
      <c r="E17" s="9">
        <f>316.87+2482.56</f>
        <v>2799.43</v>
      </c>
      <c r="F17" s="18">
        <f>E17+Январь!F17</f>
        <v>5724.8099999999995</v>
      </c>
      <c r="G17" s="18">
        <f t="shared" si="0"/>
        <v>-674.92000000000007</v>
      </c>
      <c r="H17" s="20">
        <f t="shared" si="0"/>
        <v>-1432.4500000000007</v>
      </c>
      <c r="I17" s="9"/>
      <c r="J17" s="20">
        <f>I17+Январь!J17</f>
        <v>0</v>
      </c>
      <c r="K17" s="8"/>
      <c r="L17" s="18">
        <f>K17+Январь!L17</f>
        <v>0</v>
      </c>
    </row>
    <row r="18" spans="1:12">
      <c r="A18" s="1">
        <f t="shared" si="1"/>
        <v>16</v>
      </c>
      <c r="B18" s="34" t="str">
        <f>Январь!B18</f>
        <v>Хол.водоснабжение(о/д нужды)</v>
      </c>
      <c r="C18" s="8">
        <f>109.66+1889.37</f>
        <v>1999.03</v>
      </c>
      <c r="D18" s="18">
        <f>C18+Январь!D18</f>
        <v>4212.5199999999995</v>
      </c>
      <c r="E18" s="9">
        <f>350.37+2379.55</f>
        <v>2729.92</v>
      </c>
      <c r="F18" s="18">
        <f>E18+Январь!F18</f>
        <v>3671.6400000000003</v>
      </c>
      <c r="G18" s="18">
        <f t="shared" si="0"/>
        <v>730.8900000000001</v>
      </c>
      <c r="H18" s="20">
        <f t="shared" si="0"/>
        <v>-540.8799999999992</v>
      </c>
      <c r="I18" s="9"/>
      <c r="J18" s="20">
        <f>I18+Январь!J18</f>
        <v>0</v>
      </c>
      <c r="K18" s="8"/>
      <c r="L18" s="18">
        <f>K18+Январь!L18</f>
        <v>0</v>
      </c>
    </row>
    <row r="19" spans="1:12">
      <c r="A19" s="1">
        <f t="shared" si="1"/>
        <v>17</v>
      </c>
      <c r="B19" s="34" t="str">
        <f>Январь!B19</f>
        <v>Водоотведение(о/д нужды)</v>
      </c>
      <c r="C19" s="8">
        <v>0</v>
      </c>
      <c r="D19" s="18">
        <f>C19+Январь!D19</f>
        <v>0</v>
      </c>
      <c r="E19" s="9">
        <v>0</v>
      </c>
      <c r="F19" s="18">
        <f>E19+Январь!F19</f>
        <v>0</v>
      </c>
      <c r="G19" s="18">
        <f t="shared" si="0"/>
        <v>0</v>
      </c>
      <c r="H19" s="20">
        <f t="shared" si="0"/>
        <v>0</v>
      </c>
      <c r="I19" s="9"/>
      <c r="J19" s="20">
        <f>I19+Январь!J19</f>
        <v>0</v>
      </c>
      <c r="K19" s="8"/>
      <c r="L19" s="18">
        <f>K19+Январь!L19</f>
        <v>0</v>
      </c>
    </row>
    <row r="20" spans="1:12">
      <c r="A20" s="1">
        <f t="shared" si="1"/>
        <v>18</v>
      </c>
      <c r="B20" s="34" t="str">
        <f>Январь!B20</f>
        <v>Отопление (о/д нужды)</v>
      </c>
      <c r="C20" s="8">
        <v>0</v>
      </c>
      <c r="D20" s="18">
        <f>C20+Январь!D20</f>
        <v>0</v>
      </c>
      <c r="E20" s="9">
        <v>0</v>
      </c>
      <c r="F20" s="18">
        <f>E20+Январь!F20</f>
        <v>0</v>
      </c>
      <c r="G20" s="18">
        <f t="shared" si="0"/>
        <v>0</v>
      </c>
      <c r="H20" s="20">
        <f t="shared" si="0"/>
        <v>0</v>
      </c>
      <c r="I20" s="9"/>
      <c r="J20" s="20">
        <f>I20+Январь!J20</f>
        <v>0</v>
      </c>
      <c r="K20" s="8"/>
      <c r="L20" s="18">
        <f>K20+Январь!L20</f>
        <v>0</v>
      </c>
    </row>
    <row r="21" spans="1:12">
      <c r="A21" s="1">
        <f t="shared" si="1"/>
        <v>19</v>
      </c>
      <c r="B21" s="34" t="str">
        <f>Январь!B21</f>
        <v>Электроснабжение(оющед.нужд)</v>
      </c>
      <c r="C21" s="8">
        <f>8532.5+58201.42</f>
        <v>66733.919999999998</v>
      </c>
      <c r="D21" s="18">
        <f>C21+Январь!D21</f>
        <v>71050.95</v>
      </c>
      <c r="E21" s="9">
        <f>2221.77+11031.41</f>
        <v>13253.18</v>
      </c>
      <c r="F21" s="18">
        <f>E21+Январь!F21</f>
        <v>50457.17</v>
      </c>
      <c r="G21" s="18">
        <f t="shared" si="0"/>
        <v>-53480.74</v>
      </c>
      <c r="H21" s="20">
        <f t="shared" si="0"/>
        <v>-20593.78</v>
      </c>
      <c r="I21" s="9"/>
      <c r="J21" s="20">
        <f>I21+Январь!J21</f>
        <v>0</v>
      </c>
      <c r="K21" s="8"/>
      <c r="L21" s="18">
        <f>K21+Январь!L21</f>
        <v>0</v>
      </c>
    </row>
    <row r="22" spans="1:12">
      <c r="A22" s="1">
        <f t="shared" si="1"/>
        <v>20</v>
      </c>
      <c r="B22" s="34" t="str">
        <f>Январь!B22</f>
        <v>Горячее водоснабжение (о/д)</v>
      </c>
      <c r="C22" s="8">
        <f>655.92+4369.43</f>
        <v>5025.3500000000004</v>
      </c>
      <c r="D22" s="18">
        <f>C22+Январь!D22</f>
        <v>10148.02</v>
      </c>
      <c r="E22" s="9">
        <f>548.55+4687.51</f>
        <v>5236.0600000000004</v>
      </c>
      <c r="F22" s="18">
        <f>E22+Январь!F22</f>
        <v>5455.6</v>
      </c>
      <c r="G22" s="18">
        <f t="shared" si="0"/>
        <v>210.71000000000004</v>
      </c>
      <c r="H22" s="20">
        <f t="shared" si="0"/>
        <v>-4692.42</v>
      </c>
      <c r="I22" s="9"/>
      <c r="J22" s="20">
        <f>I22+Январь!J22</f>
        <v>0</v>
      </c>
      <c r="K22" s="8"/>
      <c r="L22" s="18">
        <f>K22+Январь!L22</f>
        <v>0</v>
      </c>
    </row>
    <row r="23" spans="1:12">
      <c r="A23" s="22"/>
      <c r="B23" s="21" t="s">
        <v>12</v>
      </c>
      <c r="C23" s="18">
        <f t="shared" ref="C23:L23" si="2">SUM(C3:C22)</f>
        <v>816002.71000000008</v>
      </c>
      <c r="D23" s="18">
        <f t="shared" si="2"/>
        <v>1614308.44</v>
      </c>
      <c r="E23" s="20">
        <f t="shared" si="2"/>
        <v>603902.42000000016</v>
      </c>
      <c r="F23" s="18">
        <f t="shared" si="2"/>
        <v>1207304.5699999998</v>
      </c>
      <c r="G23" s="18">
        <f t="shared" si="2"/>
        <v>-212100.29</v>
      </c>
      <c r="H23" s="20">
        <f t="shared" si="2"/>
        <v>-407003.86999999994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8" spans="1:12">
      <c r="B28" s="1" t="s">
        <v>38</v>
      </c>
      <c r="C28" s="9">
        <f>C11+C12+C13+C16+C18+C19</f>
        <v>130539.71</v>
      </c>
      <c r="D28" s="9">
        <f t="shared" ref="D28:J28" si="3">D11+D12+D13+D16+D18+D19</f>
        <v>266574.95000000007</v>
      </c>
      <c r="E28" s="9">
        <f t="shared" si="3"/>
        <v>104327.81999999999</v>
      </c>
      <c r="F28" s="9">
        <f t="shared" si="3"/>
        <v>207110.21000000002</v>
      </c>
      <c r="G28" s="9">
        <f t="shared" si="3"/>
        <v>-26211.890000000007</v>
      </c>
      <c r="H28" s="9">
        <f t="shared" si="3"/>
        <v>-59464.740000000027</v>
      </c>
      <c r="I28" s="9">
        <f t="shared" si="3"/>
        <v>0</v>
      </c>
      <c r="J28" s="9">
        <f t="shared" si="3"/>
        <v>0</v>
      </c>
    </row>
    <row r="29" spans="1:12">
      <c r="B29" s="1" t="s">
        <v>39</v>
      </c>
      <c r="C29" s="9">
        <f>C10+C21</f>
        <v>148533.25</v>
      </c>
      <c r="D29" s="9">
        <f t="shared" ref="D29:J29" si="4">D10+D21</f>
        <v>238053.11</v>
      </c>
      <c r="E29" s="9">
        <f t="shared" si="4"/>
        <v>79931.679999999993</v>
      </c>
      <c r="F29" s="9">
        <f t="shared" si="4"/>
        <v>182145.65999999997</v>
      </c>
      <c r="G29" s="9">
        <f t="shared" si="4"/>
        <v>-68601.569999999978</v>
      </c>
      <c r="H29" s="9">
        <f t="shared" si="4"/>
        <v>-55907.449999999983</v>
      </c>
      <c r="I29" s="9">
        <f t="shared" si="4"/>
        <v>0</v>
      </c>
      <c r="J29" s="9">
        <f t="shared" si="4"/>
        <v>0</v>
      </c>
    </row>
    <row r="30" spans="1:12">
      <c r="B30" s="1" t="s">
        <v>40</v>
      </c>
      <c r="C30" s="9">
        <f>C4+C5+C20+C22</f>
        <v>389425.29</v>
      </c>
      <c r="D30" s="9">
        <f t="shared" ref="D30:J30" si="5">D4+D5+D20+D22</f>
        <v>805973.4</v>
      </c>
      <c r="E30" s="9">
        <f t="shared" si="5"/>
        <v>301397.87999999995</v>
      </c>
      <c r="F30" s="9">
        <f t="shared" si="5"/>
        <v>577172.49</v>
      </c>
      <c r="G30" s="9">
        <f t="shared" si="5"/>
        <v>-88027.410000000018</v>
      </c>
      <c r="H30" s="9">
        <f t="shared" si="5"/>
        <v>-228800.91000000003</v>
      </c>
      <c r="I30" s="9">
        <f t="shared" si="5"/>
        <v>0</v>
      </c>
      <c r="J30" s="9">
        <f t="shared" si="5"/>
        <v>0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14" sqref="E14"/>
    </sheetView>
  </sheetViews>
  <sheetFormatPr defaultRowHeight="12.75"/>
  <cols>
    <col min="1" max="1" width="3" customWidth="1"/>
    <col min="2" max="2" width="32.85546875" style="36" customWidth="1"/>
    <col min="3" max="3" width="11.140625" customWidth="1"/>
    <col min="4" max="4" width="11.5703125" customWidth="1"/>
    <col min="5" max="6" width="10.85546875" customWidth="1"/>
    <col min="7" max="7" width="11.7109375" customWidth="1"/>
    <col min="8" max="8" width="10.5703125" customWidth="1"/>
    <col min="9" max="9" width="11" customWidth="1"/>
    <col min="10" max="10" width="12" customWidth="1"/>
    <col min="11" max="11" width="11.85546875" customWidth="1"/>
    <col min="12" max="12" width="11" customWidth="1"/>
    <col min="13" max="13" width="10.7109375" bestFit="1" customWidth="1"/>
  </cols>
  <sheetData>
    <row r="1" spans="1:13">
      <c r="F1" s="11"/>
      <c r="G1" s="12" t="s">
        <v>18</v>
      </c>
      <c r="H1" s="12"/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февраль!B3</f>
        <v>Содержание общ.имущ.дома</v>
      </c>
      <c r="C3" s="8">
        <f>9634.62+59647.92</f>
        <v>69282.539999999994</v>
      </c>
      <c r="D3" s="18">
        <f>C3+февраль!D3</f>
        <v>197131.93</v>
      </c>
      <c r="E3" s="9">
        <f>6738.53+48238.59</f>
        <v>54977.119999999995</v>
      </c>
      <c r="F3" s="18">
        <f>E3+февраль!F3</f>
        <v>155135.09</v>
      </c>
      <c r="G3" s="18">
        <f>E3-C3</f>
        <v>-14305.419999999998</v>
      </c>
      <c r="H3" s="20">
        <f>F3-D3</f>
        <v>-41996.84</v>
      </c>
      <c r="I3" s="9"/>
      <c r="J3" s="20">
        <f>I3+февраль!J3</f>
        <v>0</v>
      </c>
      <c r="K3" s="8"/>
      <c r="L3" s="18">
        <f>K3+февраль!L3</f>
        <v>0</v>
      </c>
    </row>
    <row r="4" spans="1:13">
      <c r="A4" s="1">
        <f>A3+1</f>
        <v>2</v>
      </c>
      <c r="B4" s="34" t="str">
        <f>февраль!B4</f>
        <v>Отопление</v>
      </c>
      <c r="C4" s="8">
        <f>28857.37+179459.71</f>
        <v>208317.08</v>
      </c>
      <c r="D4" s="18">
        <f>C4+февраль!D4</f>
        <v>740045.99</v>
      </c>
      <c r="E4" s="9">
        <f>23012.49+181180.6</f>
        <v>204193.09</v>
      </c>
      <c r="F4" s="18">
        <f>E4+февраль!F4</f>
        <v>578391.69999999995</v>
      </c>
      <c r="G4" s="18">
        <f t="shared" ref="G4:H22" si="0">E4-C4</f>
        <v>-4123.9899999999907</v>
      </c>
      <c r="H4" s="20">
        <f t="shared" si="0"/>
        <v>-161654.29000000004</v>
      </c>
      <c r="I4" s="9"/>
      <c r="J4" s="20">
        <f>I4+февраль!J4</f>
        <v>0</v>
      </c>
      <c r="K4" s="8"/>
      <c r="L4" s="18">
        <f>K4+февраль!L4</f>
        <v>0</v>
      </c>
      <c r="M4" s="25"/>
    </row>
    <row r="5" spans="1:13">
      <c r="A5" s="1">
        <f t="shared" ref="A5:A22" si="1">A4+1</f>
        <v>3</v>
      </c>
      <c r="B5" s="34" t="str">
        <f>февраль!B5</f>
        <v>Горячее водоснабжение</v>
      </c>
      <c r="C5" s="8">
        <f>25148.43+120121.83</f>
        <v>145270.26</v>
      </c>
      <c r="D5" s="18">
        <f>C5+февраль!D5</f>
        <v>409366.73</v>
      </c>
      <c r="E5" s="9">
        <f>17640.82+91504.8</f>
        <v>109145.62</v>
      </c>
      <c r="F5" s="18">
        <f>E5+февраль!F5</f>
        <v>306663.90000000002</v>
      </c>
      <c r="G5" s="18">
        <f t="shared" si="0"/>
        <v>-36124.640000000014</v>
      </c>
      <c r="H5" s="20">
        <f t="shared" si="0"/>
        <v>-102702.82999999996</v>
      </c>
      <c r="I5" s="9"/>
      <c r="J5" s="20">
        <f>I5+февраль!J5</f>
        <v>0</v>
      </c>
      <c r="K5" s="8"/>
      <c r="L5" s="18">
        <f>K5+февраль!L5</f>
        <v>0</v>
      </c>
    </row>
    <row r="6" spans="1:13">
      <c r="A6" s="1">
        <f t="shared" si="1"/>
        <v>4</v>
      </c>
      <c r="B6" s="34" t="str">
        <f>февраль!B6</f>
        <v>Сод.и ремонт АППЗ</v>
      </c>
      <c r="C6" s="8">
        <f>382.56+2379.06</f>
        <v>2761.62</v>
      </c>
      <c r="D6" s="18">
        <f>C6+февраль!D6</f>
        <v>7840.88</v>
      </c>
      <c r="E6" s="9">
        <f>1922.35+273.36</f>
        <v>2195.71</v>
      </c>
      <c r="F6" s="18">
        <f>E6+февраль!F6</f>
        <v>6255.2</v>
      </c>
      <c r="G6" s="18">
        <f t="shared" si="0"/>
        <v>-565.90999999999985</v>
      </c>
      <c r="H6" s="20">
        <f t="shared" si="0"/>
        <v>-1585.6800000000003</v>
      </c>
      <c r="I6" s="9"/>
      <c r="J6" s="20">
        <f>I6+февраль!J6</f>
        <v>0</v>
      </c>
      <c r="K6" s="8"/>
      <c r="L6" s="18">
        <f>K6+февраль!L6</f>
        <v>0</v>
      </c>
    </row>
    <row r="7" spans="1:13">
      <c r="A7" s="1">
        <f t="shared" si="1"/>
        <v>5</v>
      </c>
      <c r="B7" s="35" t="str">
        <f>февраль!B7</f>
        <v>Сод.и ремонт лифтов</v>
      </c>
      <c r="C7" s="8">
        <f>2756.45+17139.82</f>
        <v>19896.27</v>
      </c>
      <c r="D7" s="18">
        <f>C7+февраль!D7</f>
        <v>56490.119999999995</v>
      </c>
      <c r="E7" s="9">
        <f>1974.82+13815.42</f>
        <v>15790.24</v>
      </c>
      <c r="F7" s="18">
        <f>E7+февраль!F7</f>
        <v>45049.32</v>
      </c>
      <c r="G7" s="18">
        <f t="shared" si="0"/>
        <v>-4106.0300000000007</v>
      </c>
      <c r="H7" s="20">
        <f t="shared" si="0"/>
        <v>-11440.799999999996</v>
      </c>
      <c r="I7" s="9"/>
      <c r="J7" s="20">
        <f>I7+февраль!J7</f>
        <v>0</v>
      </c>
      <c r="K7" s="8"/>
      <c r="L7" s="18">
        <f>K7+февраль!L7</f>
        <v>0</v>
      </c>
    </row>
    <row r="8" spans="1:13">
      <c r="A8" s="1">
        <f t="shared" si="1"/>
        <v>6</v>
      </c>
      <c r="B8" s="34" t="str">
        <f>февраль!B8</f>
        <v>Очистка мусоропроводов</v>
      </c>
      <c r="C8" s="8">
        <f>1182.57+7318.26</f>
        <v>8500.83</v>
      </c>
      <c r="D8" s="18">
        <f>C8+февраль!D8</f>
        <v>24130.260000000002</v>
      </c>
      <c r="E8" s="9">
        <f>837.98+5938.08</f>
        <v>6776.0599999999995</v>
      </c>
      <c r="F8" s="18">
        <f>E8+февраль!F8</f>
        <v>19252.169999999998</v>
      </c>
      <c r="G8" s="18">
        <f t="shared" si="0"/>
        <v>-1724.7700000000004</v>
      </c>
      <c r="H8" s="20">
        <f t="shared" si="0"/>
        <v>-4878.0900000000038</v>
      </c>
      <c r="I8" s="9"/>
      <c r="J8" s="20">
        <f>I8+февраль!J8</f>
        <v>0</v>
      </c>
      <c r="K8" s="8"/>
      <c r="L8" s="18">
        <f>K8+февраль!L8</f>
        <v>0</v>
      </c>
    </row>
    <row r="9" spans="1:13">
      <c r="A9" s="1">
        <f t="shared" si="1"/>
        <v>7</v>
      </c>
      <c r="B9" s="34" t="str">
        <f>февраль!B9</f>
        <v>Уборка и сан.очистка зем.уч.</v>
      </c>
      <c r="C9" s="8">
        <f>1321.69+8218.46</f>
        <v>9540.15</v>
      </c>
      <c r="D9" s="18">
        <f>C9+февраль!D9</f>
        <v>27086.699999999997</v>
      </c>
      <c r="E9" s="9">
        <f>939.22+6638.01</f>
        <v>7577.2300000000005</v>
      </c>
      <c r="F9" s="18">
        <f>E9+февраль!F9</f>
        <v>21598.84</v>
      </c>
      <c r="G9" s="18">
        <f t="shared" si="0"/>
        <v>-1962.9199999999992</v>
      </c>
      <c r="H9" s="20">
        <f t="shared" si="0"/>
        <v>-5487.8599999999969</v>
      </c>
      <c r="I9" s="9"/>
      <c r="J9" s="20">
        <f>I9+февраль!J9</f>
        <v>0</v>
      </c>
      <c r="K9" s="8"/>
      <c r="L9" s="18">
        <f>K9+февраль!L9</f>
        <v>0</v>
      </c>
    </row>
    <row r="10" spans="1:13">
      <c r="A10" s="1">
        <f t="shared" si="1"/>
        <v>8</v>
      </c>
      <c r="B10" s="34" t="str">
        <f>февраль!B10</f>
        <v>Электроснабжение(инд.потр)</v>
      </c>
      <c r="C10" s="8">
        <f>14633.28+77005.46</f>
        <v>91638.74</v>
      </c>
      <c r="D10" s="18">
        <f>C10+февраль!D10</f>
        <v>258640.89999999997</v>
      </c>
      <c r="E10" s="9">
        <f>61172.12+11136.51</f>
        <v>72308.63</v>
      </c>
      <c r="F10" s="18">
        <f>E10+февраль!F10</f>
        <v>203997.12</v>
      </c>
      <c r="G10" s="18">
        <f t="shared" si="0"/>
        <v>-19330.11</v>
      </c>
      <c r="H10" s="20">
        <f t="shared" si="0"/>
        <v>-54643.77999999997</v>
      </c>
      <c r="I10" s="9"/>
      <c r="J10" s="20">
        <f>I10+февраль!J10</f>
        <v>0</v>
      </c>
      <c r="K10" s="8"/>
      <c r="L10" s="18">
        <f>K10+февраль!L10</f>
        <v>0</v>
      </c>
    </row>
    <row r="11" spans="1:13">
      <c r="A11" s="1">
        <f t="shared" si="1"/>
        <v>9</v>
      </c>
      <c r="B11" s="34" t="str">
        <f>февраль!B11</f>
        <v>Холодная вода</v>
      </c>
      <c r="C11" s="8">
        <f>9410.3+44592.22</f>
        <v>54002.520000000004</v>
      </c>
      <c r="D11" s="18">
        <f>C11+февраль!D11</f>
        <v>150768.91999999998</v>
      </c>
      <c r="E11" s="9">
        <f>33892.25+6692.71</f>
        <v>40584.959999999999</v>
      </c>
      <c r="F11" s="18">
        <f>E11+февраль!F11</f>
        <v>115469.38</v>
      </c>
      <c r="G11" s="18">
        <f t="shared" si="0"/>
        <v>-13417.560000000005</v>
      </c>
      <c r="H11" s="20">
        <f t="shared" si="0"/>
        <v>-35299.539999999979</v>
      </c>
      <c r="I11" s="9"/>
      <c r="J11" s="20">
        <f>I11+февраль!J11</f>
        <v>0</v>
      </c>
      <c r="K11" s="8"/>
      <c r="L11" s="18">
        <f>K11+февраль!L11</f>
        <v>0</v>
      </c>
    </row>
    <row r="12" spans="1:13">
      <c r="A12" s="1">
        <f t="shared" si="1"/>
        <v>10</v>
      </c>
      <c r="B12" s="34" t="str">
        <f>февраль!B12</f>
        <v>Канализирование х.воды</v>
      </c>
      <c r="C12" s="8">
        <v>0</v>
      </c>
      <c r="D12" s="18">
        <f>C12+февраль!D12</f>
        <v>0</v>
      </c>
      <c r="E12" s="9">
        <v>0</v>
      </c>
      <c r="F12" s="18">
        <f>E12+февраль!F12</f>
        <v>0</v>
      </c>
      <c r="G12" s="18">
        <f t="shared" si="0"/>
        <v>0</v>
      </c>
      <c r="H12" s="20">
        <f t="shared" si="0"/>
        <v>0</v>
      </c>
      <c r="I12" s="9"/>
      <c r="J12" s="20">
        <f>I12+февраль!J12</f>
        <v>0</v>
      </c>
      <c r="K12" s="8"/>
      <c r="L12" s="18">
        <f>K12+февраль!L12</f>
        <v>0</v>
      </c>
    </row>
    <row r="13" spans="1:13">
      <c r="A13" s="1">
        <f t="shared" si="1"/>
        <v>11</v>
      </c>
      <c r="B13" s="34" t="str">
        <f>февраль!B13</f>
        <v>Канализирование г.воды</v>
      </c>
      <c r="C13" s="8">
        <v>0</v>
      </c>
      <c r="D13" s="18">
        <f>C13+февраль!D13</f>
        <v>0</v>
      </c>
      <c r="E13" s="9">
        <v>0</v>
      </c>
      <c r="F13" s="18">
        <f>E13+февраль!F13</f>
        <v>0</v>
      </c>
      <c r="G13" s="18">
        <f t="shared" si="0"/>
        <v>0</v>
      </c>
      <c r="H13" s="20">
        <f t="shared" si="0"/>
        <v>0</v>
      </c>
      <c r="I13" s="9"/>
      <c r="J13" s="20">
        <f>I13+февраль!J13</f>
        <v>0</v>
      </c>
      <c r="K13" s="8"/>
      <c r="L13" s="18">
        <f>K13+февраль!L13</f>
        <v>0</v>
      </c>
    </row>
    <row r="14" spans="1:13">
      <c r="A14" s="1">
        <f t="shared" si="1"/>
        <v>12</v>
      </c>
      <c r="B14" s="34" t="str">
        <f>февраль!B14</f>
        <v>Тек.ремонт общ.имущ.дома</v>
      </c>
      <c r="C14" s="8">
        <f>5078.14+31576.22</f>
        <v>36654.36</v>
      </c>
      <c r="D14" s="18">
        <f>C14+февраль!D14</f>
        <v>104070.27</v>
      </c>
      <c r="E14" s="9">
        <f>25496.38+3572.22</f>
        <v>29068.600000000002</v>
      </c>
      <c r="F14" s="18">
        <f>E14+февраль!F14</f>
        <v>83431.490000000005</v>
      </c>
      <c r="G14" s="18">
        <f t="shared" si="0"/>
        <v>-7585.7599999999984</v>
      </c>
      <c r="H14" s="20">
        <f t="shared" si="0"/>
        <v>-20638.78</v>
      </c>
      <c r="I14" s="9"/>
      <c r="J14" s="20">
        <f>I14+февраль!J14</f>
        <v>0</v>
      </c>
      <c r="K14" s="8"/>
      <c r="L14" s="18">
        <f>K14+февраль!L14</f>
        <v>0</v>
      </c>
    </row>
    <row r="15" spans="1:13">
      <c r="A15" s="1">
        <f t="shared" si="1"/>
        <v>13</v>
      </c>
      <c r="B15" s="34" t="str">
        <f>февраль!B15</f>
        <v>Управление многокварт.домом</v>
      </c>
      <c r="C15" s="8">
        <f>1991.27+12381.76</f>
        <v>14373.03</v>
      </c>
      <c r="D15" s="18">
        <f>C15+февраль!D15</f>
        <v>40808.36</v>
      </c>
      <c r="E15" s="9">
        <f>9922.64+1275.9</f>
        <v>11198.539999999999</v>
      </c>
      <c r="F15" s="18">
        <f>E15+февраль!F15</f>
        <v>32012.79</v>
      </c>
      <c r="G15" s="18">
        <f t="shared" si="0"/>
        <v>-3174.4900000000016</v>
      </c>
      <c r="H15" s="20">
        <f t="shared" si="0"/>
        <v>-8795.57</v>
      </c>
      <c r="I15" s="9"/>
      <c r="J15" s="20">
        <f>I15+февраль!J15</f>
        <v>0</v>
      </c>
      <c r="K15" s="8"/>
      <c r="L15" s="18">
        <f>K15+февраль!L15</f>
        <v>0</v>
      </c>
    </row>
    <row r="16" spans="1:13">
      <c r="A16" s="1">
        <f t="shared" si="1"/>
        <v>14</v>
      </c>
      <c r="B16" s="34" t="str">
        <f>февраль!B16</f>
        <v>Водоотведение (кв)</v>
      </c>
      <c r="C16" s="8">
        <f>15984.2+76154.65</f>
        <v>92138.849999999991</v>
      </c>
      <c r="D16" s="18">
        <f>C16+февраль!D16</f>
        <v>257734.88</v>
      </c>
      <c r="E16" s="9">
        <f>11568.71+57992.11</f>
        <v>69560.820000000007</v>
      </c>
      <c r="F16" s="18">
        <f>E16+февраль!F16</f>
        <v>198114.97</v>
      </c>
      <c r="G16" s="18">
        <f t="shared" si="0"/>
        <v>-22578.029999999984</v>
      </c>
      <c r="H16" s="20">
        <f t="shared" si="0"/>
        <v>-59619.91</v>
      </c>
      <c r="I16" s="9"/>
      <c r="J16" s="20">
        <f>I16+февраль!J16</f>
        <v>0</v>
      </c>
      <c r="K16" s="8"/>
      <c r="L16" s="18">
        <f>K16+февраль!L16</f>
        <v>0</v>
      </c>
    </row>
    <row r="17" spans="1:12">
      <c r="A17" s="1">
        <f t="shared" si="1"/>
        <v>15</v>
      </c>
      <c r="B17" s="34" t="str">
        <f>февраль!B17</f>
        <v>Эксплуатация общедомовых ПУ</v>
      </c>
      <c r="C17" s="8">
        <f>539.13+3352.32</f>
        <v>3891.4500000000003</v>
      </c>
      <c r="D17" s="18">
        <f>C17+февраль!D17</f>
        <v>11048.710000000001</v>
      </c>
      <c r="E17" s="9">
        <f>2713.4+394.44</f>
        <v>3107.84</v>
      </c>
      <c r="F17" s="18">
        <f>E17+февраль!F17</f>
        <v>8832.65</v>
      </c>
      <c r="G17" s="18">
        <f t="shared" si="0"/>
        <v>-783.61000000000013</v>
      </c>
      <c r="H17" s="20">
        <f t="shared" si="0"/>
        <v>-2216.0600000000013</v>
      </c>
      <c r="I17" s="9"/>
      <c r="J17" s="20">
        <f>I17+февраль!J17</f>
        <v>0</v>
      </c>
      <c r="K17" s="8"/>
      <c r="L17" s="18">
        <f>K17+февраль!L17</f>
        <v>0</v>
      </c>
    </row>
    <row r="18" spans="1:12">
      <c r="A18" s="1">
        <f t="shared" si="1"/>
        <v>16</v>
      </c>
      <c r="B18" s="34" t="str">
        <f>февраль!B18</f>
        <v>Хол.водоснабжение(о/д нужды)</v>
      </c>
      <c r="C18" s="8">
        <f>324.12+2103.83</f>
        <v>2427.9499999999998</v>
      </c>
      <c r="D18" s="18">
        <f>C18+февраль!D18</f>
        <v>6640.4699999999993</v>
      </c>
      <c r="E18" s="9">
        <f>1763.95+260.13</f>
        <v>2024.08</v>
      </c>
      <c r="F18" s="18">
        <f>E18+февраль!F18</f>
        <v>5695.72</v>
      </c>
      <c r="G18" s="18">
        <f t="shared" si="0"/>
        <v>-403.86999999999989</v>
      </c>
      <c r="H18" s="20">
        <f t="shared" si="0"/>
        <v>-944.74999999999909</v>
      </c>
      <c r="I18" s="9"/>
      <c r="J18" s="20">
        <f>I18+февраль!J18</f>
        <v>0</v>
      </c>
      <c r="K18" s="8"/>
      <c r="L18" s="18">
        <f>K18+февраль!L18</f>
        <v>0</v>
      </c>
    </row>
    <row r="19" spans="1:12">
      <c r="A19" s="1">
        <f t="shared" si="1"/>
        <v>17</v>
      </c>
      <c r="B19" s="34" t="str">
        <f>февраль!B19</f>
        <v>Водоотведение(о/д нужды)</v>
      </c>
      <c r="C19" s="8">
        <v>0</v>
      </c>
      <c r="D19" s="18">
        <f>C19+февраль!D19</f>
        <v>0</v>
      </c>
      <c r="E19" s="9">
        <v>0</v>
      </c>
      <c r="F19" s="18">
        <f>E19+февраль!F19</f>
        <v>0</v>
      </c>
      <c r="G19" s="18">
        <f t="shared" si="0"/>
        <v>0</v>
      </c>
      <c r="H19" s="20">
        <f t="shared" si="0"/>
        <v>0</v>
      </c>
      <c r="I19" s="9"/>
      <c r="J19" s="20">
        <f>I19+февраль!J19</f>
        <v>0</v>
      </c>
      <c r="K19" s="8"/>
      <c r="L19" s="18">
        <f>K19+февраль!L19</f>
        <v>0</v>
      </c>
    </row>
    <row r="20" spans="1:12">
      <c r="A20" s="1">
        <f t="shared" si="1"/>
        <v>18</v>
      </c>
      <c r="B20" s="34" t="str">
        <f>февраль!B20</f>
        <v>Отопление (о/д нужды)</v>
      </c>
      <c r="C20" s="8">
        <v>0</v>
      </c>
      <c r="D20" s="18">
        <f>C20+февраль!D20</f>
        <v>0</v>
      </c>
      <c r="E20" s="9">
        <v>0</v>
      </c>
      <c r="F20" s="18">
        <f>E20+февраль!F20</f>
        <v>0</v>
      </c>
      <c r="G20" s="18">
        <f t="shared" si="0"/>
        <v>0</v>
      </c>
      <c r="H20" s="20">
        <f t="shared" si="0"/>
        <v>0</v>
      </c>
      <c r="I20" s="9"/>
      <c r="J20" s="20">
        <f>I20+февраль!J20</f>
        <v>0</v>
      </c>
      <c r="K20" s="8"/>
      <c r="L20" s="18">
        <f>K20+февраль!L20</f>
        <v>0</v>
      </c>
    </row>
    <row r="21" spans="1:12">
      <c r="A21" s="1">
        <f t="shared" si="1"/>
        <v>19</v>
      </c>
      <c r="B21" s="34" t="str">
        <f>февраль!B21</f>
        <v>Электроснабжение(оющед.нужд)</v>
      </c>
      <c r="C21" s="8">
        <f>7869.71+47338.23</f>
        <v>55207.94</v>
      </c>
      <c r="D21" s="18">
        <f>C21+февраль!D21</f>
        <v>126258.89</v>
      </c>
      <c r="E21" s="9">
        <f>39024.35+4989.97</f>
        <v>44014.32</v>
      </c>
      <c r="F21" s="18">
        <f>E21+февраль!F21</f>
        <v>94471.489999999991</v>
      </c>
      <c r="G21" s="18">
        <f t="shared" si="0"/>
        <v>-11193.620000000003</v>
      </c>
      <c r="H21" s="20">
        <f t="shared" si="0"/>
        <v>-31787.400000000009</v>
      </c>
      <c r="I21" s="9"/>
      <c r="J21" s="20">
        <f>I21+февраль!J21</f>
        <v>0</v>
      </c>
      <c r="K21" s="8"/>
      <c r="L21" s="18">
        <f>K21+февраль!L21</f>
        <v>0</v>
      </c>
    </row>
    <row r="22" spans="1:12" ht="15" customHeight="1">
      <c r="A22" s="1">
        <f t="shared" si="1"/>
        <v>20</v>
      </c>
      <c r="B22" s="34" t="s">
        <v>35</v>
      </c>
      <c r="C22" s="8">
        <f>753.24+4466.75</f>
        <v>5219.99</v>
      </c>
      <c r="D22" s="18">
        <f>C22+февраль!D22</f>
        <v>15368.01</v>
      </c>
      <c r="E22" s="9">
        <f>3873.21+451.62</f>
        <v>4324.83</v>
      </c>
      <c r="F22" s="18">
        <f>E22+февраль!F22</f>
        <v>9780.43</v>
      </c>
      <c r="G22" s="18">
        <f t="shared" si="0"/>
        <v>-895.15999999999985</v>
      </c>
      <c r="H22" s="20">
        <f t="shared" si="0"/>
        <v>-5587.58</v>
      </c>
      <c r="I22" s="9"/>
      <c r="J22" s="20">
        <f>I22+февраль!J22</f>
        <v>0</v>
      </c>
      <c r="K22" s="8"/>
      <c r="L22" s="18">
        <f>K22+февраль!L22</f>
        <v>0</v>
      </c>
    </row>
    <row r="23" spans="1:12">
      <c r="A23" s="1"/>
      <c r="B23" s="38" t="s">
        <v>12</v>
      </c>
      <c r="C23" s="23">
        <f t="shared" ref="C23:L23" si="2">SUM(C3:C22)</f>
        <v>819123.58000000007</v>
      </c>
      <c r="D23" s="23">
        <f t="shared" si="2"/>
        <v>2433432.02</v>
      </c>
      <c r="E23" s="24">
        <f t="shared" si="2"/>
        <v>676847.69</v>
      </c>
      <c r="F23" s="23">
        <f t="shared" si="2"/>
        <v>1884152.2599999995</v>
      </c>
      <c r="G23" s="23">
        <f t="shared" si="2"/>
        <v>-142275.88999999998</v>
      </c>
      <c r="H23" s="24">
        <f t="shared" si="2"/>
        <v>-549279.75999999978</v>
      </c>
      <c r="I23" s="24">
        <f t="shared" si="2"/>
        <v>0</v>
      </c>
      <c r="J23" s="24">
        <f t="shared" si="2"/>
        <v>0</v>
      </c>
      <c r="K23" s="23">
        <f t="shared" si="2"/>
        <v>0</v>
      </c>
      <c r="L23" s="23">
        <f t="shared" si="2"/>
        <v>0</v>
      </c>
    </row>
    <row r="25" spans="1:12">
      <c r="B25" s="41" t="s">
        <v>36</v>
      </c>
      <c r="C25" s="9">
        <f t="shared" ref="C25:H25" si="3">C3+C6+C7+C8+C9+C14+C15+C17</f>
        <v>164900.25</v>
      </c>
      <c r="D25" s="9">
        <f t="shared" si="3"/>
        <v>468607.23000000004</v>
      </c>
      <c r="E25" s="9">
        <f t="shared" si="3"/>
        <v>130691.33999999998</v>
      </c>
      <c r="F25" s="9">
        <f t="shared" si="3"/>
        <v>371567.55000000005</v>
      </c>
      <c r="G25" s="9">
        <f t="shared" si="3"/>
        <v>-34208.910000000003</v>
      </c>
      <c r="H25" s="9">
        <f t="shared" si="3"/>
        <v>-97039.679999999993</v>
      </c>
    </row>
    <row r="28" spans="1:12">
      <c r="B28" s="1" t="s">
        <v>38</v>
      </c>
      <c r="C28" s="9">
        <f>C11+C12+C13+C16+C18+C19</f>
        <v>148569.32</v>
      </c>
      <c r="D28" s="9">
        <f t="shared" ref="D28:J28" si="4">D11+D12+D13+D16+D18+D19</f>
        <v>415144.26999999996</v>
      </c>
      <c r="E28" s="9">
        <f t="shared" si="4"/>
        <v>112169.86</v>
      </c>
      <c r="F28" s="9">
        <f t="shared" si="4"/>
        <v>319280.06999999995</v>
      </c>
      <c r="G28" s="9">
        <f t="shared" si="4"/>
        <v>-36399.459999999992</v>
      </c>
      <c r="H28" s="9">
        <f t="shared" si="4"/>
        <v>-95864.199999999983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146846.68</v>
      </c>
      <c r="D29" s="9">
        <f t="shared" ref="D29:J29" si="5">D10+D21</f>
        <v>384899.79</v>
      </c>
      <c r="E29" s="9">
        <f t="shared" si="5"/>
        <v>116322.95000000001</v>
      </c>
      <c r="F29" s="9">
        <f t="shared" si="5"/>
        <v>298468.61</v>
      </c>
      <c r="G29" s="9">
        <f t="shared" si="5"/>
        <v>-30523.730000000003</v>
      </c>
      <c r="H29" s="9">
        <f t="shared" si="5"/>
        <v>-86431.179999999978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358807.32999999996</v>
      </c>
      <c r="D30" s="9">
        <f t="shared" ref="D30:J30" si="6">D4+D5+D20+D22</f>
        <v>1164780.73</v>
      </c>
      <c r="E30" s="9">
        <f t="shared" si="6"/>
        <v>317663.53999999998</v>
      </c>
      <c r="F30" s="9">
        <f t="shared" si="6"/>
        <v>894836.03</v>
      </c>
      <c r="G30" s="9">
        <f t="shared" si="6"/>
        <v>-41143.790000000008</v>
      </c>
      <c r="H30" s="9">
        <f t="shared" si="6"/>
        <v>-269944.7</v>
      </c>
      <c r="I30" s="9">
        <f t="shared" si="6"/>
        <v>0</v>
      </c>
      <c r="J30" s="9">
        <f t="shared" si="6"/>
        <v>0</v>
      </c>
    </row>
    <row r="34" spans="9:10">
      <c r="I34">
        <v>693256.5</v>
      </c>
      <c r="J34">
        <v>585088.26</v>
      </c>
    </row>
    <row r="35" spans="9:10">
      <c r="I35">
        <v>125867.08</v>
      </c>
      <c r="J35">
        <v>91759.43</v>
      </c>
    </row>
    <row r="36" spans="9:10">
      <c r="I36" s="11">
        <f>I34+I35</f>
        <v>819123.58</v>
      </c>
      <c r="J36" s="11">
        <f>J34+J35</f>
        <v>676847.69</v>
      </c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workbookViewId="0">
      <selection activeCell="E16" sqref="E16"/>
    </sheetView>
  </sheetViews>
  <sheetFormatPr defaultRowHeight="12.75"/>
  <cols>
    <col min="1" max="1" width="4.85546875" customWidth="1"/>
    <col min="2" max="2" width="31.7109375" style="36" customWidth="1"/>
    <col min="3" max="3" width="10.7109375" customWidth="1"/>
    <col min="4" max="4" width="11.28515625" customWidth="1"/>
    <col min="5" max="6" width="11.5703125" customWidth="1"/>
    <col min="7" max="7" width="11.85546875" customWidth="1"/>
    <col min="8" max="8" width="10.7109375" customWidth="1"/>
    <col min="9" max="9" width="10.5703125" customWidth="1"/>
    <col min="10" max="10" width="11.5703125" customWidth="1"/>
    <col min="11" max="11" width="11.42578125" customWidth="1"/>
    <col min="12" max="12" width="11.7109375" customWidth="1"/>
    <col min="13" max="13" width="10.7109375" bestFit="1" customWidth="1"/>
  </cols>
  <sheetData>
    <row r="2" spans="1:13">
      <c r="B2" s="39" t="s">
        <v>18</v>
      </c>
    </row>
    <row r="4" spans="1:13" ht="38.25">
      <c r="A4" s="13" t="s">
        <v>0</v>
      </c>
      <c r="B4" s="40" t="s">
        <v>1</v>
      </c>
      <c r="C4" s="15" t="s">
        <v>2</v>
      </c>
      <c r="D4" s="17" t="s">
        <v>3</v>
      </c>
      <c r="E4" s="16" t="s">
        <v>4</v>
      </c>
      <c r="F4" s="17" t="s">
        <v>5</v>
      </c>
      <c r="G4" s="17" t="s">
        <v>6</v>
      </c>
      <c r="H4" s="19" t="s">
        <v>7</v>
      </c>
      <c r="I4" s="16" t="s">
        <v>8</v>
      </c>
      <c r="J4" s="19" t="s">
        <v>9</v>
      </c>
      <c r="K4" s="14" t="s">
        <v>10</v>
      </c>
      <c r="L4" s="17" t="s">
        <v>11</v>
      </c>
    </row>
    <row r="5" spans="1:13">
      <c r="A5" s="1">
        <v>1</v>
      </c>
      <c r="B5" s="34" t="str">
        <f>март!B3</f>
        <v>Содержание общ.имущ.дома</v>
      </c>
      <c r="C5" s="8">
        <v>65710.899999999994</v>
      </c>
      <c r="D5" s="18">
        <v>187497.53</v>
      </c>
      <c r="E5" s="9">
        <v>70397.33</v>
      </c>
      <c r="F5" s="18">
        <f>E5+март!F3</f>
        <v>225532.41999999998</v>
      </c>
      <c r="G5" s="18">
        <f>E5-C5</f>
        <v>4686.4300000000076</v>
      </c>
      <c r="H5" s="20">
        <f>F5-D5</f>
        <v>38034.889999999985</v>
      </c>
      <c r="I5" s="9"/>
      <c r="J5" s="20">
        <f>I5+март!J3</f>
        <v>0</v>
      </c>
      <c r="K5" s="8"/>
      <c r="L5" s="18">
        <f>K5+март!L3</f>
        <v>0</v>
      </c>
    </row>
    <row r="6" spans="1:13">
      <c r="A6" s="1">
        <f>A5+1</f>
        <v>2</v>
      </c>
      <c r="B6" s="34" t="str">
        <f>март!B4</f>
        <v>Отопление</v>
      </c>
      <c r="C6" s="8">
        <v>190450.16</v>
      </c>
      <c r="D6" s="18">
        <v>694266.37</v>
      </c>
      <c r="E6" s="9">
        <v>205156.28</v>
      </c>
      <c r="F6" s="18">
        <f>E6+март!F4</f>
        <v>783547.98</v>
      </c>
      <c r="G6" s="18">
        <f t="shared" ref="G6:H24" si="0">E6-C6</f>
        <v>14706.119999999995</v>
      </c>
      <c r="H6" s="20">
        <f t="shared" si="0"/>
        <v>89281.609999999986</v>
      </c>
      <c r="I6" s="9"/>
      <c r="J6" s="20">
        <f>I6+март!J4</f>
        <v>0</v>
      </c>
      <c r="K6" s="8"/>
      <c r="L6" s="18">
        <f>K6+март!L4</f>
        <v>0</v>
      </c>
      <c r="M6" s="25">
        <f>L6-J6</f>
        <v>0</v>
      </c>
    </row>
    <row r="7" spans="1:13">
      <c r="A7" s="1">
        <f t="shared" ref="A7:A24" si="1">A6+1</f>
        <v>3</v>
      </c>
      <c r="B7" s="34" t="str">
        <f>март!B5</f>
        <v>Горячее водоснабжение</v>
      </c>
      <c r="C7" s="8">
        <v>138792.60999999999</v>
      </c>
      <c r="D7" s="18">
        <v>383964.26</v>
      </c>
      <c r="E7" s="9">
        <v>131770.43</v>
      </c>
      <c r="F7" s="18">
        <f>E7+март!F5</f>
        <v>438434.33</v>
      </c>
      <c r="G7" s="18">
        <f t="shared" si="0"/>
        <v>-7022.179999999993</v>
      </c>
      <c r="H7" s="20">
        <f t="shared" si="0"/>
        <v>54470.070000000007</v>
      </c>
      <c r="I7" s="9"/>
      <c r="J7" s="20">
        <f>I7+март!J5</f>
        <v>0</v>
      </c>
      <c r="K7" s="8"/>
      <c r="L7" s="18">
        <f>K7+март!L5</f>
        <v>0</v>
      </c>
    </row>
    <row r="8" spans="1:13">
      <c r="A8" s="1">
        <f t="shared" si="1"/>
        <v>4</v>
      </c>
      <c r="B8" s="34" t="str">
        <f>март!B6</f>
        <v>Сод.и ремонт АППЗ</v>
      </c>
      <c r="C8" s="8">
        <v>2613.63</v>
      </c>
      <c r="D8" s="18">
        <v>7458.32</v>
      </c>
      <c r="E8" s="9">
        <v>2854.25</v>
      </c>
      <c r="F8" s="18">
        <f>E8+март!F6</f>
        <v>9109.4500000000007</v>
      </c>
      <c r="G8" s="18">
        <f t="shared" si="0"/>
        <v>240.61999999999989</v>
      </c>
      <c r="H8" s="20">
        <f t="shared" si="0"/>
        <v>1651.130000000001</v>
      </c>
      <c r="I8" s="9"/>
      <c r="J8" s="20">
        <f>I8+март!J6</f>
        <v>0</v>
      </c>
      <c r="K8" s="8"/>
      <c r="L8" s="18">
        <f>K8+март!L6</f>
        <v>0</v>
      </c>
    </row>
    <row r="9" spans="1:13">
      <c r="A9" s="1">
        <f t="shared" si="1"/>
        <v>5</v>
      </c>
      <c r="B9" s="34" t="str">
        <f>март!B7</f>
        <v>Сод.и ремонт лифтов</v>
      </c>
      <c r="C9" s="8">
        <v>18830.11</v>
      </c>
      <c r="D9" s="18">
        <v>53733.73</v>
      </c>
      <c r="E9" s="9">
        <v>20272.96</v>
      </c>
      <c r="F9" s="18">
        <f>E9+март!F7</f>
        <v>65322.28</v>
      </c>
      <c r="G9" s="18">
        <f t="shared" si="0"/>
        <v>1442.8499999999985</v>
      </c>
      <c r="H9" s="20">
        <f t="shared" si="0"/>
        <v>11588.549999999996</v>
      </c>
      <c r="I9" s="9"/>
      <c r="J9" s="20">
        <f>I9+март!J7</f>
        <v>0</v>
      </c>
      <c r="K9" s="8"/>
      <c r="L9" s="18">
        <f>K9+март!L7</f>
        <v>0</v>
      </c>
    </row>
    <row r="10" spans="1:13">
      <c r="A10" s="1">
        <f t="shared" si="1"/>
        <v>6</v>
      </c>
      <c r="B10" s="34" t="str">
        <f>март!B8</f>
        <v>Очистка мусоропроводов</v>
      </c>
      <c r="C10" s="8">
        <v>8043.44</v>
      </c>
      <c r="D10" s="18">
        <v>22947.71</v>
      </c>
      <c r="E10" s="9">
        <v>8582.81</v>
      </c>
      <c r="F10" s="18">
        <f>E10+март!F8</f>
        <v>27834.979999999996</v>
      </c>
      <c r="G10" s="18">
        <f t="shared" si="0"/>
        <v>539.36999999999989</v>
      </c>
      <c r="H10" s="20">
        <f t="shared" si="0"/>
        <v>4887.2699999999968</v>
      </c>
      <c r="I10" s="9"/>
      <c r="J10" s="20">
        <f>I10+март!J8</f>
        <v>0</v>
      </c>
      <c r="K10" s="8"/>
      <c r="L10" s="18">
        <f>K10+март!L8</f>
        <v>0</v>
      </c>
    </row>
    <row r="11" spans="1:13">
      <c r="A11" s="1">
        <f t="shared" si="1"/>
        <v>7</v>
      </c>
      <c r="B11" s="34" t="str">
        <f>март!B9</f>
        <v>Уборка и сан.очистка зем.уч.</v>
      </c>
      <c r="C11" s="8">
        <v>9028.94</v>
      </c>
      <c r="D11" s="18">
        <v>25765.05</v>
      </c>
      <c r="E11" s="9">
        <v>9689.09</v>
      </c>
      <c r="F11" s="18">
        <f>E11+март!F9</f>
        <v>31287.93</v>
      </c>
      <c r="G11" s="18">
        <f t="shared" si="0"/>
        <v>660.14999999999964</v>
      </c>
      <c r="H11" s="20">
        <f t="shared" si="0"/>
        <v>5522.880000000001</v>
      </c>
      <c r="I11" s="9"/>
      <c r="J11" s="20">
        <f>I11+март!J9</f>
        <v>0</v>
      </c>
      <c r="K11" s="8"/>
      <c r="L11" s="18">
        <f>K11+март!L9</f>
        <v>0</v>
      </c>
    </row>
    <row r="12" spans="1:13">
      <c r="A12" s="1">
        <f t="shared" si="1"/>
        <v>8</v>
      </c>
      <c r="B12" s="34" t="str">
        <f>март!B10</f>
        <v>Электроснабжение(инд.потр)</v>
      </c>
      <c r="C12" s="8">
        <v>87926.399999999994</v>
      </c>
      <c r="D12" s="18">
        <v>243872.24</v>
      </c>
      <c r="E12" s="9">
        <v>94636.73</v>
      </c>
      <c r="F12" s="18">
        <f>E12+март!F10</f>
        <v>298633.84999999998</v>
      </c>
      <c r="G12" s="18">
        <f t="shared" si="0"/>
        <v>6710.3300000000017</v>
      </c>
      <c r="H12" s="20">
        <f t="shared" si="0"/>
        <v>54761.609999999986</v>
      </c>
      <c r="I12" s="9"/>
      <c r="J12" s="20">
        <f>I12+март!J10</f>
        <v>0</v>
      </c>
      <c r="K12" s="8"/>
      <c r="L12" s="18">
        <f>K12+март!L10</f>
        <v>0</v>
      </c>
    </row>
    <row r="13" spans="1:13">
      <c r="A13" s="1">
        <f t="shared" si="1"/>
        <v>9</v>
      </c>
      <c r="B13" s="34" t="str">
        <f>март!B11</f>
        <v>Холодная вода</v>
      </c>
      <c r="C13" s="8">
        <v>51163.92</v>
      </c>
      <c r="D13" s="18">
        <v>141081.07</v>
      </c>
      <c r="E13" s="9">
        <v>50833.31</v>
      </c>
      <c r="F13" s="18">
        <f>E13+март!F11</f>
        <v>166302.69</v>
      </c>
      <c r="G13" s="18">
        <f t="shared" si="0"/>
        <v>-330.61000000000058</v>
      </c>
      <c r="H13" s="20">
        <f t="shared" si="0"/>
        <v>25221.619999999995</v>
      </c>
      <c r="I13" s="9"/>
      <c r="J13" s="20">
        <f>I13+март!J11</f>
        <v>0</v>
      </c>
      <c r="K13" s="8"/>
      <c r="L13" s="18">
        <f>K13+март!L11</f>
        <v>0</v>
      </c>
    </row>
    <row r="14" spans="1:13">
      <c r="A14" s="1">
        <f t="shared" si="1"/>
        <v>10</v>
      </c>
      <c r="B14" s="34" t="str">
        <f>март!B12</f>
        <v>Канализирование х.воды</v>
      </c>
      <c r="C14" s="8">
        <v>0</v>
      </c>
      <c r="D14" s="18">
        <v>0</v>
      </c>
      <c r="E14" s="9">
        <v>0</v>
      </c>
      <c r="F14" s="18">
        <f>E14+март!F12</f>
        <v>0</v>
      </c>
      <c r="G14" s="18">
        <f t="shared" si="0"/>
        <v>0</v>
      </c>
      <c r="H14" s="20">
        <f t="shared" si="0"/>
        <v>0</v>
      </c>
      <c r="I14" s="9"/>
      <c r="J14" s="20">
        <f>I14+март!J12</f>
        <v>0</v>
      </c>
      <c r="K14" s="8"/>
      <c r="L14" s="18">
        <f>K14+март!L12</f>
        <v>0</v>
      </c>
    </row>
    <row r="15" spans="1:13">
      <c r="A15" s="1">
        <f t="shared" si="1"/>
        <v>11</v>
      </c>
      <c r="B15" s="34" t="str">
        <f>март!B13</f>
        <v>Канализирование г.воды</v>
      </c>
      <c r="C15" s="8">
        <v>0</v>
      </c>
      <c r="D15" s="18">
        <v>0</v>
      </c>
      <c r="E15" s="9">
        <v>0</v>
      </c>
      <c r="F15" s="18">
        <f>E15+март!F13</f>
        <v>0</v>
      </c>
      <c r="G15" s="18">
        <f t="shared" si="0"/>
        <v>0</v>
      </c>
      <c r="H15" s="20">
        <f t="shared" si="0"/>
        <v>0</v>
      </c>
      <c r="I15" s="9"/>
      <c r="J15" s="20">
        <f>I15+март!J13</f>
        <v>0</v>
      </c>
      <c r="K15" s="8"/>
      <c r="L15" s="18">
        <f>K15+март!L13</f>
        <v>0</v>
      </c>
    </row>
    <row r="16" spans="1:13">
      <c r="A16" s="1">
        <f t="shared" si="1"/>
        <v>12</v>
      </c>
      <c r="B16" s="34" t="str">
        <f>март!B14</f>
        <v>Тек.ремонт общ.имущ.дома</v>
      </c>
      <c r="C16" s="8">
        <v>34690.230000000003</v>
      </c>
      <c r="D16" s="18">
        <v>98992.25</v>
      </c>
      <c r="E16" s="9">
        <v>40592.74</v>
      </c>
      <c r="F16" s="18">
        <f>E16+март!F14</f>
        <v>124024.23000000001</v>
      </c>
      <c r="G16" s="18">
        <f t="shared" si="0"/>
        <v>5902.5099999999948</v>
      </c>
      <c r="H16" s="20">
        <f t="shared" si="0"/>
        <v>25031.98000000001</v>
      </c>
      <c r="I16" s="9"/>
      <c r="J16" s="20">
        <f>I16+март!J14</f>
        <v>0</v>
      </c>
      <c r="K16" s="8"/>
      <c r="L16" s="18">
        <f>K16+март!L14</f>
        <v>0</v>
      </c>
    </row>
    <row r="17" spans="1:12">
      <c r="A17" s="1">
        <f t="shared" si="1"/>
        <v>13</v>
      </c>
      <c r="B17" s="34" t="str">
        <f>март!B15</f>
        <v>Управление многокварт.домом</v>
      </c>
      <c r="C17" s="8">
        <v>13602.84</v>
      </c>
      <c r="D17" s="18">
        <v>38817.14</v>
      </c>
      <c r="E17" s="9">
        <v>13354.92</v>
      </c>
      <c r="F17" s="18">
        <f>E17+март!F15</f>
        <v>45367.71</v>
      </c>
      <c r="G17" s="18">
        <f t="shared" si="0"/>
        <v>-247.92000000000007</v>
      </c>
      <c r="H17" s="20">
        <f t="shared" si="0"/>
        <v>6550.57</v>
      </c>
      <c r="I17" s="9"/>
      <c r="J17" s="20">
        <f>I17+март!J15</f>
        <v>0</v>
      </c>
      <c r="K17" s="8"/>
      <c r="L17" s="18">
        <f>K17+март!L15</f>
        <v>0</v>
      </c>
    </row>
    <row r="18" spans="1:12">
      <c r="A18" s="1">
        <f t="shared" si="1"/>
        <v>14</v>
      </c>
      <c r="B18" s="34" t="str">
        <f>март!B16</f>
        <v>Водоотведение (кв)</v>
      </c>
      <c r="C18" s="8">
        <v>87444.94</v>
      </c>
      <c r="D18" s="18">
        <v>241406.75</v>
      </c>
      <c r="E18" s="9">
        <v>88637.07</v>
      </c>
      <c r="F18" s="18">
        <f>E18+март!F16</f>
        <v>286752.04000000004</v>
      </c>
      <c r="G18" s="18">
        <f t="shared" si="0"/>
        <v>1192.1300000000047</v>
      </c>
      <c r="H18" s="20">
        <f t="shared" si="0"/>
        <v>45345.290000000037</v>
      </c>
      <c r="I18" s="9"/>
      <c r="J18" s="20">
        <f>I18+март!J16</f>
        <v>0</v>
      </c>
      <c r="K18" s="8"/>
      <c r="L18" s="18">
        <f>K18+март!L16</f>
        <v>0</v>
      </c>
    </row>
    <row r="19" spans="1:12">
      <c r="A19" s="1">
        <f t="shared" si="1"/>
        <v>15</v>
      </c>
      <c r="B19" s="34" t="str">
        <f>март!B17</f>
        <v>Эксплуатация общедомовых ПУ</v>
      </c>
      <c r="C19" s="8">
        <v>3682.92</v>
      </c>
      <c r="D19" s="18">
        <v>10509.6</v>
      </c>
      <c r="E19" s="9">
        <v>4336.1099999999997</v>
      </c>
      <c r="F19" s="18">
        <f>E19+март!F17</f>
        <v>13168.759999999998</v>
      </c>
      <c r="G19" s="18">
        <f t="shared" si="0"/>
        <v>653.1899999999996</v>
      </c>
      <c r="H19" s="20">
        <f t="shared" si="0"/>
        <v>2659.159999999998</v>
      </c>
      <c r="I19" s="9"/>
      <c r="J19" s="20">
        <f>I19+март!J17</f>
        <v>0</v>
      </c>
      <c r="K19" s="8"/>
      <c r="L19" s="18">
        <f>K19+март!L17</f>
        <v>0</v>
      </c>
    </row>
    <row r="20" spans="1:12">
      <c r="A20" s="1">
        <f t="shared" si="1"/>
        <v>16</v>
      </c>
      <c r="B20" s="34" t="str">
        <f>март!B18</f>
        <v>Хол.водоснабжение(о/д нужды)</v>
      </c>
      <c r="C20" s="8">
        <v>2213.48</v>
      </c>
      <c r="D20" s="18">
        <v>6316.34</v>
      </c>
      <c r="E20" s="9">
        <v>2250.15</v>
      </c>
      <c r="F20" s="18">
        <f>E20+март!F18</f>
        <v>7945.8700000000008</v>
      </c>
      <c r="G20" s="18">
        <f t="shared" si="0"/>
        <v>36.670000000000073</v>
      </c>
      <c r="H20" s="20">
        <f t="shared" si="0"/>
        <v>1629.5300000000007</v>
      </c>
      <c r="I20" s="9"/>
      <c r="J20" s="20">
        <f>I20+март!J18</f>
        <v>0</v>
      </c>
      <c r="K20" s="8"/>
      <c r="L20" s="18">
        <f>K20+март!L18</f>
        <v>0</v>
      </c>
    </row>
    <row r="21" spans="1:12">
      <c r="A21" s="1">
        <f t="shared" si="1"/>
        <v>17</v>
      </c>
      <c r="B21" s="34" t="str">
        <f>март!B19</f>
        <v>Водоотведение(о/д нужды)</v>
      </c>
      <c r="C21" s="8">
        <v>0</v>
      </c>
      <c r="D21" s="18">
        <v>0</v>
      </c>
      <c r="E21" s="9">
        <v>0</v>
      </c>
      <c r="F21" s="18">
        <f>E21+март!F19</f>
        <v>0</v>
      </c>
      <c r="G21" s="18">
        <f t="shared" si="0"/>
        <v>0</v>
      </c>
      <c r="H21" s="20">
        <f t="shared" si="0"/>
        <v>0</v>
      </c>
      <c r="I21" s="9"/>
      <c r="J21" s="20">
        <f>I21+март!J19</f>
        <v>0</v>
      </c>
      <c r="K21" s="8"/>
      <c r="L21" s="18">
        <f>K21+март!L19</f>
        <v>0</v>
      </c>
    </row>
    <row r="22" spans="1:12">
      <c r="A22" s="1">
        <f t="shared" si="1"/>
        <v>18</v>
      </c>
      <c r="B22" s="34" t="str">
        <f>март!B20</f>
        <v>Отопление (о/д нужды)</v>
      </c>
      <c r="C22" s="8">
        <v>0</v>
      </c>
      <c r="D22" s="18">
        <v>0</v>
      </c>
      <c r="E22" s="9">
        <v>31.99</v>
      </c>
      <c r="F22" s="18">
        <f>E22+март!F20</f>
        <v>31.99</v>
      </c>
      <c r="G22" s="18">
        <f t="shared" si="0"/>
        <v>31.99</v>
      </c>
      <c r="H22" s="20">
        <f t="shared" si="0"/>
        <v>31.99</v>
      </c>
      <c r="I22" s="9"/>
      <c r="J22" s="20">
        <f>I22+март!J20</f>
        <v>0</v>
      </c>
      <c r="K22" s="8"/>
      <c r="L22" s="18">
        <f>K22+март!L20</f>
        <v>0</v>
      </c>
    </row>
    <row r="23" spans="1:12">
      <c r="A23" s="1">
        <f t="shared" si="1"/>
        <v>19</v>
      </c>
      <c r="B23" s="34" t="str">
        <f>март!B21</f>
        <v>Электроснабжение(оющед.нужд)</v>
      </c>
      <c r="C23" s="8">
        <v>36307.300000000003</v>
      </c>
      <c r="D23" s="18">
        <v>98825.75</v>
      </c>
      <c r="E23" s="9">
        <v>51769.13</v>
      </c>
      <c r="F23" s="18">
        <f>E23+март!F21</f>
        <v>146240.62</v>
      </c>
      <c r="G23" s="18">
        <f t="shared" si="0"/>
        <v>15461.829999999994</v>
      </c>
      <c r="H23" s="20">
        <f t="shared" si="0"/>
        <v>47414.869999999995</v>
      </c>
      <c r="I23" s="9"/>
      <c r="J23" s="20">
        <f>I23+март!J21</f>
        <v>0</v>
      </c>
      <c r="K23" s="8"/>
      <c r="L23" s="18">
        <f>K23+март!L21</f>
        <v>0</v>
      </c>
    </row>
    <row r="24" spans="1:12" ht="12.75" customHeight="1">
      <c r="A24" s="1">
        <f t="shared" si="1"/>
        <v>20</v>
      </c>
      <c r="B24" s="34" t="str">
        <f>март!B22</f>
        <v>Горячее водоснабжение(о/д нужды)</v>
      </c>
      <c r="C24" s="8">
        <v>5121.6899999999996</v>
      </c>
      <c r="D24" s="18">
        <v>14613.79</v>
      </c>
      <c r="E24" s="9">
        <v>4283.2700000000004</v>
      </c>
      <c r="F24" s="18">
        <f>E24+март!F22</f>
        <v>14063.7</v>
      </c>
      <c r="G24" s="18">
        <f t="shared" si="0"/>
        <v>-838.41999999999916</v>
      </c>
      <c r="H24" s="20">
        <f t="shared" si="0"/>
        <v>-550.09000000000015</v>
      </c>
      <c r="I24" s="9"/>
      <c r="J24" s="20">
        <f>I24+март!J22</f>
        <v>0</v>
      </c>
      <c r="K24" s="8"/>
      <c r="L24" s="18">
        <f>K24+март!L22</f>
        <v>0</v>
      </c>
    </row>
    <row r="25" spans="1:12">
      <c r="A25" s="1"/>
      <c r="B25" s="38" t="s">
        <v>12</v>
      </c>
      <c r="C25" s="23">
        <f t="shared" ref="C25:L25" si="2">SUM(C5:C24)</f>
        <v>755623.50999999989</v>
      </c>
      <c r="D25" s="18">
        <f t="shared" si="2"/>
        <v>2270067.9</v>
      </c>
      <c r="E25" s="24">
        <f t="shared" si="2"/>
        <v>799448.57</v>
      </c>
      <c r="F25" s="18">
        <f t="shared" si="2"/>
        <v>2683600.83</v>
      </c>
      <c r="G25" s="18">
        <f t="shared" si="2"/>
        <v>43825.060000000012</v>
      </c>
      <c r="H25" s="20">
        <f t="shared" si="2"/>
        <v>413532.93</v>
      </c>
      <c r="I25" s="20">
        <f t="shared" si="2"/>
        <v>0</v>
      </c>
      <c r="J25" s="20">
        <f t="shared" si="2"/>
        <v>0</v>
      </c>
      <c r="K25" s="18">
        <f t="shared" si="2"/>
        <v>0</v>
      </c>
      <c r="L25" s="18">
        <f t="shared" si="2"/>
        <v>0</v>
      </c>
    </row>
    <row r="27" spans="1:12" hidden="1"/>
    <row r="28" spans="1:12" hidden="1">
      <c r="I28" s="25"/>
    </row>
    <row r="29" spans="1:12" ht="1.5" hidden="1" customHeight="1"/>
    <row r="30" spans="1:12">
      <c r="B30" s="1" t="s">
        <v>38</v>
      </c>
      <c r="C30" s="9">
        <f>C13+C14+C15+C18+C20+C21</f>
        <v>140822.34</v>
      </c>
      <c r="D30" s="9">
        <f t="shared" ref="D30:J30" si="3">D13+D14+D15+D18+D20+D21</f>
        <v>388804.16000000003</v>
      </c>
      <c r="E30" s="9">
        <f t="shared" si="3"/>
        <v>141720.53</v>
      </c>
      <c r="F30" s="9">
        <f t="shared" si="3"/>
        <v>461000.60000000003</v>
      </c>
      <c r="G30" s="9">
        <f t="shared" si="3"/>
        <v>898.19000000000415</v>
      </c>
      <c r="H30" s="9">
        <f t="shared" si="3"/>
        <v>72196.440000000031</v>
      </c>
      <c r="I30" s="9">
        <f t="shared" si="3"/>
        <v>0</v>
      </c>
      <c r="J30" s="9">
        <f t="shared" si="3"/>
        <v>0</v>
      </c>
    </row>
    <row r="31" spans="1:12">
      <c r="B31" s="1" t="s">
        <v>39</v>
      </c>
      <c r="C31" s="9">
        <f>C12+C23</f>
        <v>124233.7</v>
      </c>
      <c r="D31" s="9">
        <f t="shared" ref="D31:J31" si="4">D12+D23</f>
        <v>342697.99</v>
      </c>
      <c r="E31" s="9">
        <f t="shared" si="4"/>
        <v>146405.85999999999</v>
      </c>
      <c r="F31" s="9">
        <f t="shared" si="4"/>
        <v>444874.47</v>
      </c>
      <c r="G31" s="9">
        <f t="shared" si="4"/>
        <v>22172.159999999996</v>
      </c>
      <c r="H31" s="9">
        <f t="shared" si="4"/>
        <v>102176.47999999998</v>
      </c>
      <c r="I31" s="9">
        <f t="shared" si="4"/>
        <v>0</v>
      </c>
      <c r="J31" s="9">
        <f t="shared" si="4"/>
        <v>0</v>
      </c>
    </row>
    <row r="32" spans="1:12">
      <c r="B32" s="1" t="s">
        <v>40</v>
      </c>
      <c r="C32" s="9">
        <f>C6+C7+C22+C24</f>
        <v>334364.46000000002</v>
      </c>
      <c r="D32" s="9">
        <f t="shared" ref="D32:J32" si="5">D6+D7+D22+D24</f>
        <v>1092844.42</v>
      </c>
      <c r="E32" s="9">
        <f t="shared" si="5"/>
        <v>341241.97</v>
      </c>
      <c r="F32" s="9">
        <f t="shared" si="5"/>
        <v>1236078</v>
      </c>
      <c r="G32" s="9">
        <f t="shared" si="5"/>
        <v>6877.5100000000029</v>
      </c>
      <c r="H32" s="9">
        <f t="shared" si="5"/>
        <v>143233.57999999999</v>
      </c>
      <c r="I32" s="9">
        <f t="shared" si="5"/>
        <v>0</v>
      </c>
      <c r="J32" s="9">
        <f t="shared" si="5"/>
        <v>0</v>
      </c>
    </row>
    <row r="37" spans="10:11">
      <c r="J37">
        <v>633849.07999999996</v>
      </c>
      <c r="K37">
        <v>729098.86</v>
      </c>
    </row>
    <row r="38" spans="10:11">
      <c r="J38">
        <v>121774.43</v>
      </c>
      <c r="K38">
        <v>70349.710000000006</v>
      </c>
    </row>
    <row r="39" spans="10:11">
      <c r="J39" s="11">
        <f>J37+J38</f>
        <v>755623.51</v>
      </c>
      <c r="K39" s="11">
        <f>K37+K38</f>
        <v>799448.57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14" sqref="E14"/>
    </sheetView>
  </sheetViews>
  <sheetFormatPr defaultRowHeight="12.75"/>
  <cols>
    <col min="1" max="1" width="4" customWidth="1"/>
    <col min="2" max="2" width="33" style="36" customWidth="1"/>
    <col min="3" max="3" width="11" customWidth="1"/>
    <col min="4" max="4" width="12" customWidth="1"/>
    <col min="5" max="5" width="10.7109375" customWidth="1"/>
    <col min="6" max="6" width="11.7109375" customWidth="1"/>
    <col min="7" max="7" width="12.28515625" customWidth="1"/>
    <col min="8" max="8" width="12.42578125" customWidth="1"/>
    <col min="9" max="9" width="11" customWidth="1"/>
    <col min="10" max="10" width="11.42578125" customWidth="1"/>
    <col min="11" max="11" width="10.5703125" customWidth="1"/>
    <col min="12" max="12" width="11.28515625" customWidth="1"/>
    <col min="13" max="13" width="10.7109375" bestFit="1" customWidth="1"/>
  </cols>
  <sheetData>
    <row r="1" spans="1:13">
      <c r="E1" s="11"/>
      <c r="F1" s="12" t="s">
        <v>18</v>
      </c>
      <c r="G1" s="12"/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апрель!B5</f>
        <v>Содержание общ.имущ.дома</v>
      </c>
      <c r="C3" s="8">
        <f>54740.89+8543.14</f>
        <v>63284.03</v>
      </c>
      <c r="D3" s="18">
        <f>C3+апрель!D5</f>
        <v>250781.56</v>
      </c>
      <c r="E3" s="9">
        <f>50410.28+7578.8</f>
        <v>57989.08</v>
      </c>
      <c r="F3" s="18">
        <f>E3+апрель!F5</f>
        <v>283521.5</v>
      </c>
      <c r="G3" s="18">
        <f>E3-C3</f>
        <v>-5294.9499999999971</v>
      </c>
      <c r="H3" s="20">
        <f>F3-D3</f>
        <v>32739.940000000002</v>
      </c>
      <c r="I3" s="9"/>
      <c r="J3" s="20">
        <f>I3+апрель!J5</f>
        <v>0</v>
      </c>
      <c r="K3" s="8"/>
      <c r="L3" s="18">
        <f>K3+апрель!L5</f>
        <v>0</v>
      </c>
    </row>
    <row r="4" spans="1:13">
      <c r="A4" s="1">
        <f>A3+1</f>
        <v>2</v>
      </c>
      <c r="B4" s="34" t="str">
        <f>апрель!B6</f>
        <v>Отопление</v>
      </c>
      <c r="C4" s="8">
        <f>110274.62+16068.09</f>
        <v>126342.70999999999</v>
      </c>
      <c r="D4" s="18">
        <f>C4+апрель!D6</f>
        <v>820609.08</v>
      </c>
      <c r="E4" s="9">
        <f>21966.32+143478.9</f>
        <v>165445.22</v>
      </c>
      <c r="F4" s="18">
        <f>E4+апрель!F6</f>
        <v>948993.2</v>
      </c>
      <c r="G4" s="18">
        <f t="shared" ref="G4:H22" si="0">E4-C4</f>
        <v>39102.510000000009</v>
      </c>
      <c r="H4" s="20">
        <f t="shared" si="0"/>
        <v>128384.12</v>
      </c>
      <c r="I4" s="9"/>
      <c r="J4" s="20">
        <f>I4+апрель!J6</f>
        <v>0</v>
      </c>
      <c r="K4" s="8"/>
      <c r="L4" s="18">
        <f>K4+апрель!L6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апрель!B7</f>
        <v>Горячее водоснабжение</v>
      </c>
      <c r="C5" s="8">
        <f>112999.92+20068.33</f>
        <v>133068.25</v>
      </c>
      <c r="D5" s="18">
        <f>C5+апрель!D7</f>
        <v>517032.51</v>
      </c>
      <c r="E5" s="9">
        <f>16979.02+93236.35</f>
        <v>110215.37000000001</v>
      </c>
      <c r="F5" s="18">
        <f>E5+апрель!F7</f>
        <v>548649.70000000007</v>
      </c>
      <c r="G5" s="18">
        <f t="shared" si="0"/>
        <v>-22852.87999999999</v>
      </c>
      <c r="H5" s="20">
        <f t="shared" si="0"/>
        <v>31617.190000000061</v>
      </c>
      <c r="I5" s="9"/>
      <c r="J5" s="20">
        <f>I5+апрель!J7</f>
        <v>0</v>
      </c>
      <c r="K5" s="8"/>
      <c r="L5" s="18">
        <f>K5+апрель!L7</f>
        <v>0</v>
      </c>
    </row>
    <row r="6" spans="1:13">
      <c r="A6" s="1">
        <f t="shared" si="1"/>
        <v>4</v>
      </c>
      <c r="B6" s="34" t="str">
        <f>апрель!B8</f>
        <v>Сод.и ремонт АППЗ</v>
      </c>
      <c r="C6" s="8">
        <f>2173.94+338.66</f>
        <v>2512.6</v>
      </c>
      <c r="D6" s="18">
        <f>C6+апрель!D8</f>
        <v>9970.92</v>
      </c>
      <c r="E6" s="9">
        <f>303.96+2011.42</f>
        <v>2315.38</v>
      </c>
      <c r="F6" s="18">
        <f>E6+апрель!F8</f>
        <v>11424.830000000002</v>
      </c>
      <c r="G6" s="18">
        <f t="shared" si="0"/>
        <v>-197.2199999999998</v>
      </c>
      <c r="H6" s="20">
        <f t="shared" si="0"/>
        <v>1453.9100000000017</v>
      </c>
      <c r="I6" s="9"/>
      <c r="J6" s="20">
        <f>I6+апрель!J8</f>
        <v>0</v>
      </c>
      <c r="K6" s="8"/>
      <c r="L6" s="18">
        <f>K6+апрель!L8</f>
        <v>0</v>
      </c>
    </row>
    <row r="7" spans="1:13">
      <c r="A7" s="1">
        <f t="shared" si="1"/>
        <v>5</v>
      </c>
      <c r="B7" s="34" t="str">
        <f>апрель!B9</f>
        <v>Сод.и ремонт лифтов</v>
      </c>
      <c r="C7" s="8">
        <f>-384.24+2440.25</f>
        <v>2056.0100000000002</v>
      </c>
      <c r="D7" s="18">
        <f>C7+апрель!D9</f>
        <v>55789.740000000005</v>
      </c>
      <c r="E7" s="9">
        <f>2191.6+16403.65</f>
        <v>18595.25</v>
      </c>
      <c r="F7" s="18">
        <f>E7+апрель!F9</f>
        <v>83917.53</v>
      </c>
      <c r="G7" s="18">
        <f t="shared" si="0"/>
        <v>16539.239999999998</v>
      </c>
      <c r="H7" s="20">
        <f t="shared" si="0"/>
        <v>28127.789999999994</v>
      </c>
      <c r="I7" s="9"/>
      <c r="J7" s="20">
        <f>I7+апрель!J9</f>
        <v>0</v>
      </c>
      <c r="K7" s="8"/>
      <c r="L7" s="18">
        <f>K7+апрель!L9</f>
        <v>0</v>
      </c>
    </row>
    <row r="8" spans="1:13">
      <c r="A8" s="1">
        <f t="shared" si="1"/>
        <v>6</v>
      </c>
      <c r="B8" s="34" t="str">
        <f>апрель!B10</f>
        <v>Очистка мусоропроводов</v>
      </c>
      <c r="C8" s="8">
        <f>6684.29+1046.92</f>
        <v>7731.21</v>
      </c>
      <c r="D8" s="18">
        <f>C8+апрель!D10</f>
        <v>30678.92</v>
      </c>
      <c r="E8" s="9">
        <f>938.46+6200.07</f>
        <v>7138.53</v>
      </c>
      <c r="F8" s="18">
        <f>E8+апрель!F10</f>
        <v>34973.509999999995</v>
      </c>
      <c r="G8" s="18">
        <f t="shared" si="0"/>
        <v>-592.68000000000029</v>
      </c>
      <c r="H8" s="20">
        <f t="shared" si="0"/>
        <v>4294.5899999999965</v>
      </c>
      <c r="I8" s="9"/>
      <c r="J8" s="20">
        <f>I8+апрель!J10</f>
        <v>0</v>
      </c>
      <c r="K8" s="8"/>
      <c r="L8" s="18">
        <f>K8+апрель!L10</f>
        <v>0</v>
      </c>
    </row>
    <row r="9" spans="1:13">
      <c r="A9" s="1">
        <f t="shared" si="1"/>
        <v>7</v>
      </c>
      <c r="B9" s="34" t="str">
        <f>апрель!B11</f>
        <v>Уборка и сан.очистка зем.уч.</v>
      </c>
      <c r="C9" s="8">
        <f>7509.89+1170.09</f>
        <v>8679.98</v>
      </c>
      <c r="D9" s="18">
        <f>C9+апрель!D11</f>
        <v>34445.03</v>
      </c>
      <c r="E9" s="9">
        <f>1049.27+6936.23</f>
        <v>7985.5</v>
      </c>
      <c r="F9" s="18">
        <f>E9+апрель!F11</f>
        <v>39273.43</v>
      </c>
      <c r="G9" s="18">
        <f t="shared" si="0"/>
        <v>-694.47999999999956</v>
      </c>
      <c r="H9" s="20">
        <f t="shared" si="0"/>
        <v>4828.4000000000015</v>
      </c>
      <c r="I9" s="9"/>
      <c r="J9" s="20">
        <f>I9+апрель!J11</f>
        <v>0</v>
      </c>
      <c r="K9" s="8"/>
      <c r="L9" s="18">
        <f>K9+апрель!L11</f>
        <v>0</v>
      </c>
    </row>
    <row r="10" spans="1:13">
      <c r="A10" s="1">
        <f t="shared" si="1"/>
        <v>8</v>
      </c>
      <c r="B10" s="34" t="str">
        <f>апрель!B12</f>
        <v>Электроснабжение(инд.потр)</v>
      </c>
      <c r="C10" s="8">
        <f>71636.92+12343.68</f>
        <v>83980.6</v>
      </c>
      <c r="D10" s="18">
        <f>C10+апрель!D12</f>
        <v>327852.83999999997</v>
      </c>
      <c r="E10" s="9">
        <f>11273.74+65856.93</f>
        <v>77130.67</v>
      </c>
      <c r="F10" s="18">
        <f>E10+апрель!F12</f>
        <v>375764.51999999996</v>
      </c>
      <c r="G10" s="18">
        <f t="shared" si="0"/>
        <v>-6849.9300000000076</v>
      </c>
      <c r="H10" s="20">
        <f t="shared" si="0"/>
        <v>47911.679999999993</v>
      </c>
      <c r="I10" s="9"/>
      <c r="J10" s="20">
        <f>I10+апрель!J12</f>
        <v>0</v>
      </c>
      <c r="K10" s="8"/>
      <c r="L10" s="18">
        <f>K10+апрель!L12</f>
        <v>0</v>
      </c>
    </row>
    <row r="11" spans="1:13">
      <c r="A11" s="1">
        <f t="shared" si="1"/>
        <v>9</v>
      </c>
      <c r="B11" s="34" t="str">
        <f>апрель!B13</f>
        <v>Холодная вода</v>
      </c>
      <c r="C11" s="8">
        <f>41646.02+7347.61</f>
        <v>48993.63</v>
      </c>
      <c r="D11" s="18">
        <f>C11+апрель!D13</f>
        <v>190074.7</v>
      </c>
      <c r="E11" s="9">
        <f>6563.7+35277.86</f>
        <v>41841.56</v>
      </c>
      <c r="F11" s="18">
        <f>E11+апрель!F13</f>
        <v>208144.25</v>
      </c>
      <c r="G11" s="18">
        <f t="shared" si="0"/>
        <v>-7152.07</v>
      </c>
      <c r="H11" s="20">
        <f t="shared" si="0"/>
        <v>18069.549999999988</v>
      </c>
      <c r="I11" s="9"/>
      <c r="J11" s="20">
        <f>I11+апрель!J13</f>
        <v>0</v>
      </c>
      <c r="K11" s="8"/>
      <c r="L11" s="18">
        <f>K11+апрель!L13</f>
        <v>0</v>
      </c>
    </row>
    <row r="12" spans="1:13">
      <c r="A12" s="1">
        <f t="shared" si="1"/>
        <v>10</v>
      </c>
      <c r="B12" s="34" t="str">
        <f>апрель!B14</f>
        <v>Канализирование х.воды</v>
      </c>
      <c r="C12" s="8">
        <f>0+0</f>
        <v>0</v>
      </c>
      <c r="D12" s="18">
        <f>C12+апрель!D14</f>
        <v>0</v>
      </c>
      <c r="E12" s="9">
        <f>0+0</f>
        <v>0</v>
      </c>
      <c r="F12" s="18">
        <f>E12+апрель!F14</f>
        <v>0</v>
      </c>
      <c r="G12" s="18">
        <f t="shared" si="0"/>
        <v>0</v>
      </c>
      <c r="H12" s="20">
        <f t="shared" si="0"/>
        <v>0</v>
      </c>
      <c r="I12" s="9"/>
      <c r="J12" s="20">
        <f>I12+апрель!J14</f>
        <v>0</v>
      </c>
      <c r="K12" s="8"/>
      <c r="L12" s="18">
        <f>K12+апрель!L14</f>
        <v>0</v>
      </c>
    </row>
    <row r="13" spans="1:13">
      <c r="A13" s="1">
        <f t="shared" si="1"/>
        <v>11</v>
      </c>
      <c r="B13" s="34" t="str">
        <f>апрель!B15</f>
        <v>Канализирование г.воды</v>
      </c>
      <c r="C13" s="8">
        <f>0+0</f>
        <v>0</v>
      </c>
      <c r="D13" s="18">
        <f>C13+апрель!D15</f>
        <v>0</v>
      </c>
      <c r="E13" s="9">
        <f>0+0</f>
        <v>0</v>
      </c>
      <c r="F13" s="18">
        <f>E13+апрель!F15</f>
        <v>0</v>
      </c>
      <c r="G13" s="18">
        <f t="shared" si="0"/>
        <v>0</v>
      </c>
      <c r="H13" s="20">
        <f t="shared" si="0"/>
        <v>0</v>
      </c>
      <c r="I13" s="9"/>
      <c r="J13" s="20">
        <f>I13+апрель!J15</f>
        <v>0</v>
      </c>
      <c r="K13" s="8"/>
      <c r="L13" s="18">
        <f>K13+апрель!L15</f>
        <v>0</v>
      </c>
    </row>
    <row r="14" spans="1:13">
      <c r="A14" s="1">
        <f t="shared" si="1"/>
        <v>12</v>
      </c>
      <c r="B14" s="34" t="str">
        <f>апрель!B16</f>
        <v>Тек.ремонт общ.имущ.дома</v>
      </c>
      <c r="C14" s="8">
        <f>28853.84+4495.59</f>
        <v>33349.43</v>
      </c>
      <c r="D14" s="18">
        <f>C14+апрель!D16</f>
        <v>132341.68</v>
      </c>
      <c r="E14" s="9">
        <f>4019.44+26772.83</f>
        <v>30792.27</v>
      </c>
      <c r="F14" s="18">
        <f>E14+апрель!F16</f>
        <v>154816.5</v>
      </c>
      <c r="G14" s="18">
        <f t="shared" si="0"/>
        <v>-2557.16</v>
      </c>
      <c r="H14" s="20">
        <f t="shared" si="0"/>
        <v>22474.820000000007</v>
      </c>
      <c r="I14" s="9"/>
      <c r="J14" s="20">
        <f>I14+апрель!J16</f>
        <v>0</v>
      </c>
      <c r="K14" s="8"/>
      <c r="L14" s="18">
        <f>K14+апрель!L16</f>
        <v>0</v>
      </c>
    </row>
    <row r="15" spans="1:13">
      <c r="A15" s="1">
        <f t="shared" si="1"/>
        <v>13</v>
      </c>
      <c r="B15" s="34" t="str">
        <f>апрель!B17</f>
        <v>Управление многокварт.домом</v>
      </c>
      <c r="C15" s="8">
        <f>11314.23+1762.82</f>
        <v>13077.05</v>
      </c>
      <c r="D15" s="18">
        <f>C15+апрель!D17</f>
        <v>51894.19</v>
      </c>
      <c r="E15" s="9">
        <f>1541.72+10373.05</f>
        <v>11914.769999999999</v>
      </c>
      <c r="F15" s="18">
        <f>E15+апрель!F17</f>
        <v>57282.479999999996</v>
      </c>
      <c r="G15" s="18">
        <f t="shared" si="0"/>
        <v>-1162.2800000000007</v>
      </c>
      <c r="H15" s="20">
        <f t="shared" si="0"/>
        <v>5388.2899999999936</v>
      </c>
      <c r="I15" s="9"/>
      <c r="J15" s="20">
        <f>I15+апрель!J17</f>
        <v>0</v>
      </c>
      <c r="K15" s="8"/>
      <c r="L15" s="18">
        <f>K15+апрель!L17</f>
        <v>0</v>
      </c>
    </row>
    <row r="16" spans="1:13">
      <c r="A16" s="1">
        <f t="shared" si="1"/>
        <v>14</v>
      </c>
      <c r="B16" s="34" t="str">
        <f>апрель!B18</f>
        <v>Водоотведение (кв)</v>
      </c>
      <c r="C16" s="8">
        <f>71076.66+12593.56</f>
        <v>83670.22</v>
      </c>
      <c r="D16" s="18">
        <f>C16+апрель!D18</f>
        <v>325076.96999999997</v>
      </c>
      <c r="E16" s="9">
        <f>11199.4+60157.63</f>
        <v>71357.03</v>
      </c>
      <c r="F16" s="18">
        <f>E16+апрель!F18</f>
        <v>358109.07000000007</v>
      </c>
      <c r="G16" s="18">
        <f t="shared" si="0"/>
        <v>-12313.190000000002</v>
      </c>
      <c r="H16" s="20">
        <f t="shared" si="0"/>
        <v>33032.100000000093</v>
      </c>
      <c r="I16" s="9"/>
      <c r="J16" s="20">
        <f>I16+апрель!J18</f>
        <v>0</v>
      </c>
      <c r="K16" s="8"/>
      <c r="L16" s="18">
        <f>K16+апрель!L18</f>
        <v>0</v>
      </c>
    </row>
    <row r="17" spans="1:12">
      <c r="A17" s="1">
        <f t="shared" si="1"/>
        <v>15</v>
      </c>
      <c r="B17" s="34" t="str">
        <f>апрель!B19</f>
        <v>Эксплуатация общедомовых ПУ</v>
      </c>
      <c r="C17" s="8">
        <f>3063.29+477.28</f>
        <v>3540.5699999999997</v>
      </c>
      <c r="D17" s="18">
        <f>C17+апрель!D19</f>
        <v>14050.17</v>
      </c>
      <c r="E17" s="9">
        <f>429.93+2856.59</f>
        <v>3286.52</v>
      </c>
      <c r="F17" s="18">
        <f>E17+апрель!F19</f>
        <v>16455.28</v>
      </c>
      <c r="G17" s="18">
        <f t="shared" si="0"/>
        <v>-254.04999999999973</v>
      </c>
      <c r="H17" s="20">
        <f t="shared" si="0"/>
        <v>2405.1099999999988</v>
      </c>
      <c r="I17" s="9"/>
      <c r="J17" s="20">
        <f>I17+апрель!J19</f>
        <v>0</v>
      </c>
      <c r="K17" s="8"/>
      <c r="L17" s="18">
        <f>K17+апрель!L19</f>
        <v>0</v>
      </c>
    </row>
    <row r="18" spans="1:12" ht="16.5" customHeight="1">
      <c r="A18" s="1">
        <f t="shared" si="1"/>
        <v>16</v>
      </c>
      <c r="B18" s="34" t="str">
        <f>апрель!B20</f>
        <v>Хол.водоснабжение(о/д нужды)</v>
      </c>
      <c r="C18" s="8">
        <f>1781.41+294.6</f>
        <v>2076.0100000000002</v>
      </c>
      <c r="D18" s="18">
        <f>C18+апрель!D20</f>
        <v>8392.35</v>
      </c>
      <c r="E18" s="9">
        <f>236.31+1954.71</f>
        <v>2191.02</v>
      </c>
      <c r="F18" s="18">
        <f>E18+апрель!F20</f>
        <v>10136.890000000001</v>
      </c>
      <c r="G18" s="18">
        <f t="shared" si="0"/>
        <v>115.00999999999976</v>
      </c>
      <c r="H18" s="20">
        <f t="shared" si="0"/>
        <v>1744.5400000000009</v>
      </c>
      <c r="I18" s="9"/>
      <c r="J18" s="20">
        <f>I18+апрель!J20</f>
        <v>0</v>
      </c>
      <c r="K18" s="8"/>
      <c r="L18" s="18">
        <f>K18+апрель!L20</f>
        <v>0</v>
      </c>
    </row>
    <row r="19" spans="1:12">
      <c r="A19" s="1">
        <f t="shared" si="1"/>
        <v>17</v>
      </c>
      <c r="B19" s="34" t="str">
        <f>апрель!B21</f>
        <v>Водоотведение(о/д нужды)</v>
      </c>
      <c r="C19" s="8">
        <f>0+0</f>
        <v>0</v>
      </c>
      <c r="D19" s="18">
        <f>C19+апрель!D21</f>
        <v>0</v>
      </c>
      <c r="E19" s="9">
        <f>0+0</f>
        <v>0</v>
      </c>
      <c r="F19" s="18">
        <f>E19+апрель!F21</f>
        <v>0</v>
      </c>
      <c r="G19" s="18">
        <f t="shared" si="0"/>
        <v>0</v>
      </c>
      <c r="H19" s="20">
        <f t="shared" si="0"/>
        <v>0</v>
      </c>
      <c r="I19" s="9"/>
      <c r="J19" s="20">
        <f>I19+апрель!J21</f>
        <v>0</v>
      </c>
      <c r="K19" s="8"/>
      <c r="L19" s="18">
        <f>K19+апрель!L21</f>
        <v>0</v>
      </c>
    </row>
    <row r="20" spans="1:12">
      <c r="A20" s="1">
        <f t="shared" si="1"/>
        <v>18</v>
      </c>
      <c r="B20" s="34" t="str">
        <f>апрель!B22</f>
        <v>Отопление (о/д нужды)</v>
      </c>
      <c r="C20" s="8">
        <f>0+0</f>
        <v>0</v>
      </c>
      <c r="D20" s="18">
        <f>C20+апрель!D22</f>
        <v>0</v>
      </c>
      <c r="E20" s="9">
        <f>0+0</f>
        <v>0</v>
      </c>
      <c r="F20" s="18">
        <f>E20+апрель!F22</f>
        <v>31.99</v>
      </c>
      <c r="G20" s="18">
        <f t="shared" si="0"/>
        <v>0</v>
      </c>
      <c r="H20" s="20">
        <f t="shared" si="0"/>
        <v>31.99</v>
      </c>
      <c r="I20" s="9"/>
      <c r="J20" s="20">
        <f>I20+апрель!J22</f>
        <v>0</v>
      </c>
      <c r="K20" s="8"/>
      <c r="L20" s="18">
        <f>K20+апрель!L22</f>
        <v>0</v>
      </c>
    </row>
    <row r="21" spans="1:12" ht="14.25" customHeight="1">
      <c r="A21" s="1">
        <f t="shared" si="1"/>
        <v>19</v>
      </c>
      <c r="B21" s="34" t="str">
        <f>апрель!B23</f>
        <v>Электроснабжение(оющед.нужд)</v>
      </c>
      <c r="C21" s="8">
        <f>5169.84+33231.8</f>
        <v>38401.64</v>
      </c>
      <c r="D21" s="18">
        <f>C21+апрель!D23</f>
        <v>137227.39000000001</v>
      </c>
      <c r="E21" s="9">
        <f>28535.39+4505.59</f>
        <v>33040.979999999996</v>
      </c>
      <c r="F21" s="18">
        <f>E21+апрель!F23</f>
        <v>179281.59999999998</v>
      </c>
      <c r="G21" s="18">
        <f t="shared" si="0"/>
        <v>-5360.6600000000035</v>
      </c>
      <c r="H21" s="20">
        <f t="shared" si="0"/>
        <v>42054.209999999963</v>
      </c>
      <c r="I21" s="9"/>
      <c r="J21" s="20">
        <f>I21+апрель!J23</f>
        <v>0</v>
      </c>
      <c r="K21" s="8"/>
      <c r="L21" s="18">
        <f>K21+апрель!L23</f>
        <v>0</v>
      </c>
    </row>
    <row r="22" spans="1:12" ht="15" customHeight="1">
      <c r="A22" s="1">
        <f t="shared" si="1"/>
        <v>20</v>
      </c>
      <c r="B22" s="34" t="str">
        <f>апрель!B24</f>
        <v>Горячее водоснабжение(о/д нужды)</v>
      </c>
      <c r="C22" s="8">
        <f>683.16+4384.67</f>
        <v>5067.83</v>
      </c>
      <c r="D22" s="18">
        <f>C22+апрель!D24</f>
        <v>19681.620000000003</v>
      </c>
      <c r="E22" s="9">
        <f>3772.17+524.67</f>
        <v>4296.84</v>
      </c>
      <c r="F22" s="18">
        <f>E22+апрель!F24</f>
        <v>18360.54</v>
      </c>
      <c r="G22" s="18">
        <f t="shared" si="0"/>
        <v>-770.98999999999978</v>
      </c>
      <c r="H22" s="20">
        <f t="shared" si="0"/>
        <v>-1321.0800000000017</v>
      </c>
      <c r="I22" s="9"/>
      <c r="J22" s="20">
        <f>I22+апрель!J24</f>
        <v>0</v>
      </c>
      <c r="K22" s="8"/>
      <c r="L22" s="18">
        <f>K22+апрель!L24</f>
        <v>0</v>
      </c>
    </row>
    <row r="23" spans="1:12">
      <c r="A23" s="22"/>
      <c r="B23" s="38" t="s">
        <v>12</v>
      </c>
      <c r="C23" s="23">
        <f t="shared" ref="C23:L23" si="2">SUM(C3:C22)</f>
        <v>655831.7699999999</v>
      </c>
      <c r="D23" s="18">
        <f t="shared" si="2"/>
        <v>2925899.67</v>
      </c>
      <c r="E23" s="24">
        <f t="shared" si="2"/>
        <v>645535.99</v>
      </c>
      <c r="F23" s="18">
        <f t="shared" si="2"/>
        <v>3329136.82</v>
      </c>
      <c r="G23" s="18">
        <f t="shared" si="2"/>
        <v>-10295.779999999993</v>
      </c>
      <c r="H23" s="20">
        <f t="shared" si="2"/>
        <v>403237.15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 ht="6" customHeight="1"/>
    <row r="26" spans="1:12" hidden="1"/>
    <row r="27" spans="1:12" hidden="1"/>
    <row r="28" spans="1:12">
      <c r="B28" s="1" t="s">
        <v>38</v>
      </c>
      <c r="C28" s="9">
        <f>C11+C12+C13+C16+C18+C19</f>
        <v>134739.86000000002</v>
      </c>
      <c r="D28" s="9">
        <f t="shared" ref="D28:J28" si="3">D11+D12+D13+D16+D18+D19</f>
        <v>523544.01999999996</v>
      </c>
      <c r="E28" s="9">
        <f t="shared" si="3"/>
        <v>115389.61</v>
      </c>
      <c r="F28" s="9">
        <f t="shared" si="3"/>
        <v>576390.21000000008</v>
      </c>
      <c r="G28" s="9">
        <f t="shared" si="3"/>
        <v>-19350.250000000004</v>
      </c>
      <c r="H28" s="9">
        <f t="shared" si="3"/>
        <v>52846.190000000082</v>
      </c>
      <c r="I28" s="9">
        <f t="shared" si="3"/>
        <v>0</v>
      </c>
      <c r="J28" s="9">
        <f t="shared" si="3"/>
        <v>0</v>
      </c>
    </row>
    <row r="29" spans="1:12">
      <c r="B29" s="1" t="s">
        <v>39</v>
      </c>
      <c r="C29" s="9">
        <f>C10+C21</f>
        <v>122382.24</v>
      </c>
      <c r="D29" s="9">
        <f t="shared" ref="D29:J29" si="4">D10+D21</f>
        <v>465080.23</v>
      </c>
      <c r="E29" s="9">
        <f t="shared" si="4"/>
        <v>110171.65</v>
      </c>
      <c r="F29" s="9">
        <f t="shared" si="4"/>
        <v>555046.11999999988</v>
      </c>
      <c r="G29" s="9">
        <f t="shared" si="4"/>
        <v>-12210.590000000011</v>
      </c>
      <c r="H29" s="9">
        <f t="shared" si="4"/>
        <v>89965.889999999956</v>
      </c>
      <c r="I29" s="9">
        <f t="shared" si="4"/>
        <v>0</v>
      </c>
      <c r="J29" s="9">
        <f t="shared" si="4"/>
        <v>0</v>
      </c>
    </row>
    <row r="30" spans="1:12">
      <c r="B30" s="1" t="s">
        <v>40</v>
      </c>
      <c r="C30" s="9">
        <f>C4+C5+C20+C22</f>
        <v>264478.78999999998</v>
      </c>
      <c r="D30" s="9">
        <f t="shared" ref="D30:J30" si="5">D4+D5+D20+D22</f>
        <v>1357323.21</v>
      </c>
      <c r="E30" s="9">
        <f t="shared" si="5"/>
        <v>279957.43000000005</v>
      </c>
      <c r="F30" s="9">
        <f t="shared" si="5"/>
        <v>1516035.43</v>
      </c>
      <c r="G30" s="9">
        <f t="shared" si="5"/>
        <v>15478.640000000019</v>
      </c>
      <c r="H30" s="9">
        <f t="shared" si="5"/>
        <v>158712.22000000003</v>
      </c>
      <c r="I30" s="9">
        <f t="shared" si="5"/>
        <v>0</v>
      </c>
      <c r="J30" s="9">
        <f t="shared" si="5"/>
        <v>0</v>
      </c>
    </row>
    <row r="34" spans="10:11">
      <c r="J34">
        <v>560988.15</v>
      </c>
      <c r="K34">
        <v>554234.06000000006</v>
      </c>
    </row>
    <row r="35" spans="10:11">
      <c r="J35">
        <v>94843.62</v>
      </c>
      <c r="K35">
        <v>91301.93</v>
      </c>
    </row>
    <row r="36" spans="10:11">
      <c r="J36" s="11">
        <f>J34+J35</f>
        <v>655831.77</v>
      </c>
      <c r="K36" s="11">
        <f>K34+K35</f>
        <v>645535.99</v>
      </c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E42" sqref="E42"/>
    </sheetView>
  </sheetViews>
  <sheetFormatPr defaultRowHeight="12.75"/>
  <cols>
    <col min="1" max="1" width="4.140625" style="10" customWidth="1"/>
    <col min="2" max="2" width="33.5703125" style="36" customWidth="1"/>
    <col min="3" max="3" width="10.85546875" customWidth="1"/>
    <col min="4" max="4" width="11.7109375" customWidth="1"/>
    <col min="5" max="5" width="11.28515625" customWidth="1"/>
    <col min="6" max="6" width="12" customWidth="1"/>
    <col min="7" max="7" width="11.140625" customWidth="1"/>
    <col min="8" max="8" width="11.42578125" customWidth="1"/>
    <col min="9" max="9" width="10.140625" bestFit="1" customWidth="1"/>
    <col min="10" max="10" width="11" customWidth="1"/>
    <col min="11" max="11" width="10.140625" customWidth="1"/>
    <col min="12" max="12" width="12.140625" customWidth="1"/>
    <col min="13" max="13" width="10.7109375" bestFit="1" customWidth="1"/>
  </cols>
  <sheetData>
    <row r="1" spans="1:13">
      <c r="F1" s="11"/>
      <c r="G1" s="12" t="s">
        <v>18</v>
      </c>
      <c r="H1" s="12"/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май!B3</f>
        <v>Содержание общ.имущ.дома</v>
      </c>
      <c r="C3" s="8">
        <f>9413.57+56700.84</f>
        <v>66114.41</v>
      </c>
      <c r="D3" s="18">
        <f>C3+май!D3</f>
        <v>316895.96999999997</v>
      </c>
      <c r="E3" s="9">
        <f>7634.21+57673.49</f>
        <v>65307.7</v>
      </c>
      <c r="F3" s="18">
        <f>E3+май!F3</f>
        <v>348829.2</v>
      </c>
      <c r="G3" s="18">
        <f>E3-C3</f>
        <v>-806.7100000000064</v>
      </c>
      <c r="H3" s="20">
        <f>F3-D3</f>
        <v>31933.23000000004</v>
      </c>
      <c r="I3" s="9"/>
      <c r="J3" s="20">
        <f>I3+май!J3</f>
        <v>0</v>
      </c>
      <c r="K3" s="8"/>
      <c r="L3" s="18">
        <f>K3+май!L3</f>
        <v>0</v>
      </c>
    </row>
    <row r="4" spans="1:13">
      <c r="A4" s="1">
        <f>A3+1</f>
        <v>2</v>
      </c>
      <c r="B4" s="34" t="str">
        <f>май!B4</f>
        <v>Отопление</v>
      </c>
      <c r="C4" s="8">
        <f>0+0</f>
        <v>0</v>
      </c>
      <c r="D4" s="18">
        <f>C4+май!D4</f>
        <v>820609.08</v>
      </c>
      <c r="E4" s="9">
        <f>16726.16+131850.5</f>
        <v>148576.66</v>
      </c>
      <c r="F4" s="18">
        <f>E4+май!F4</f>
        <v>1097569.8599999999</v>
      </c>
      <c r="G4" s="18">
        <f t="shared" ref="G4:H22" si="0">E4-C4</f>
        <v>148576.66</v>
      </c>
      <c r="H4" s="20">
        <f t="shared" si="0"/>
        <v>276960.77999999991</v>
      </c>
      <c r="I4" s="9"/>
      <c r="J4" s="20">
        <f>I4+май!J4</f>
        <v>0</v>
      </c>
      <c r="K4" s="8"/>
      <c r="L4" s="18">
        <f>K4+май!L4</f>
        <v>0</v>
      </c>
      <c r="M4" s="25"/>
    </row>
    <row r="5" spans="1:13">
      <c r="A5" s="1">
        <f t="shared" ref="A5:A22" si="1">A4+1</f>
        <v>3</v>
      </c>
      <c r="B5" s="34" t="str">
        <f>май!B5</f>
        <v>Горячее водоснабжение</v>
      </c>
      <c r="C5" s="8">
        <f>23368.44+120923.06+508.01</f>
        <v>144799.51</v>
      </c>
      <c r="D5" s="18">
        <f>C5+май!D5</f>
        <v>661832.02</v>
      </c>
      <c r="E5" s="9">
        <f>23286.42+116932.46</f>
        <v>140218.88</v>
      </c>
      <c r="F5" s="18">
        <f>E5+май!F5</f>
        <v>688868.58000000007</v>
      </c>
      <c r="G5" s="18">
        <f t="shared" si="0"/>
        <v>-4580.6300000000047</v>
      </c>
      <c r="H5" s="20">
        <f t="shared" si="0"/>
        <v>27036.560000000056</v>
      </c>
      <c r="I5" s="9"/>
      <c r="J5" s="20">
        <f>I5+май!J5</f>
        <v>0</v>
      </c>
      <c r="K5" s="8"/>
      <c r="L5" s="18">
        <f>K5+май!L5</f>
        <v>0</v>
      </c>
    </row>
    <row r="6" spans="1:13">
      <c r="A6" s="1">
        <f t="shared" si="1"/>
        <v>4</v>
      </c>
      <c r="B6" s="34" t="str">
        <f>май!B6</f>
        <v>Сод.и ремонт АППЗ</v>
      </c>
      <c r="C6" s="8">
        <f>373.78+2273.87</f>
        <v>2647.6499999999996</v>
      </c>
      <c r="D6" s="18">
        <f>C6+май!D6</f>
        <v>12618.57</v>
      </c>
      <c r="E6" s="9">
        <f>2327.59+310.99</f>
        <v>2638.58</v>
      </c>
      <c r="F6" s="18">
        <f>E6+май!F6</f>
        <v>14063.410000000002</v>
      </c>
      <c r="G6" s="18">
        <f t="shared" si="0"/>
        <v>-9.069999999999709</v>
      </c>
      <c r="H6" s="20">
        <f t="shared" si="0"/>
        <v>1444.840000000002</v>
      </c>
      <c r="I6" s="9"/>
      <c r="J6" s="20">
        <f>I6+май!J6</f>
        <v>0</v>
      </c>
      <c r="K6" s="8"/>
      <c r="L6" s="18">
        <f>K6+май!L6</f>
        <v>0</v>
      </c>
    </row>
    <row r="7" spans="1:13">
      <c r="A7" s="1">
        <f t="shared" si="1"/>
        <v>5</v>
      </c>
      <c r="B7" s="34" t="str">
        <f>май!B7</f>
        <v>Сод.и ремонт лифтов</v>
      </c>
      <c r="C7" s="8">
        <f>-909.15+11072.35</f>
        <v>10163.200000000001</v>
      </c>
      <c r="D7" s="18">
        <f>C7+май!D7</f>
        <v>65952.94</v>
      </c>
      <c r="E7" s="9">
        <f>12281.71+2083.18</f>
        <v>14364.89</v>
      </c>
      <c r="F7" s="18">
        <f>E7+май!F7</f>
        <v>98282.42</v>
      </c>
      <c r="G7" s="18">
        <f t="shared" si="0"/>
        <v>4201.6899999999987</v>
      </c>
      <c r="H7" s="20">
        <f t="shared" si="0"/>
        <v>32329.479999999996</v>
      </c>
      <c r="I7" s="9"/>
      <c r="J7" s="20">
        <f>I7+май!J7</f>
        <v>0</v>
      </c>
      <c r="K7" s="8"/>
      <c r="L7" s="18">
        <f>K7+май!L7</f>
        <v>0</v>
      </c>
    </row>
    <row r="8" spans="1:13">
      <c r="A8" s="1">
        <f t="shared" si="1"/>
        <v>6</v>
      </c>
      <c r="B8" s="34" t="str">
        <f>май!B8</f>
        <v>Очистка мусоропроводов</v>
      </c>
      <c r="C8" s="8">
        <f>1155.44+6993.14</f>
        <v>8148.58</v>
      </c>
      <c r="D8" s="18">
        <f>C8+май!D8</f>
        <v>38827.5</v>
      </c>
      <c r="E8" s="9">
        <f>7020.21+927.52</f>
        <v>7947.73</v>
      </c>
      <c r="F8" s="18">
        <f>E8+май!F8</f>
        <v>42921.239999999991</v>
      </c>
      <c r="G8" s="18">
        <f t="shared" si="0"/>
        <v>-200.85000000000036</v>
      </c>
      <c r="H8" s="20">
        <f t="shared" si="0"/>
        <v>4093.7399999999907</v>
      </c>
      <c r="I8" s="9"/>
      <c r="J8" s="20">
        <f>I8+май!J8</f>
        <v>0</v>
      </c>
      <c r="K8" s="8"/>
      <c r="L8" s="18">
        <f>K8+май!L8</f>
        <v>0</v>
      </c>
    </row>
    <row r="9" spans="1:13">
      <c r="A9" s="1">
        <f t="shared" si="1"/>
        <v>7</v>
      </c>
      <c r="B9" s="34" t="str">
        <f>май!B9</f>
        <v>Уборка и сан.очистка зем.уч.</v>
      </c>
      <c r="C9" s="8">
        <f>1291.37+7824.95</f>
        <v>9116.32</v>
      </c>
      <c r="D9" s="18">
        <f>C9+май!D9</f>
        <v>43561.35</v>
      </c>
      <c r="E9" s="9">
        <f>7916.46+1050.31</f>
        <v>8966.77</v>
      </c>
      <c r="F9" s="18">
        <f>E9+май!F9</f>
        <v>48240.2</v>
      </c>
      <c r="G9" s="18">
        <f t="shared" si="0"/>
        <v>-149.54999999999927</v>
      </c>
      <c r="H9" s="20">
        <f t="shared" si="0"/>
        <v>4678.8499999999985</v>
      </c>
      <c r="I9" s="9"/>
      <c r="J9" s="20">
        <f>I9+май!J9</f>
        <v>0</v>
      </c>
      <c r="K9" s="8"/>
      <c r="L9" s="18">
        <f>K9+май!L9</f>
        <v>0</v>
      </c>
    </row>
    <row r="10" spans="1:13">
      <c r="A10" s="1">
        <f t="shared" si="1"/>
        <v>8</v>
      </c>
      <c r="B10" s="34" t="str">
        <f>май!B10</f>
        <v>Электроснабжение(инд.потр)</v>
      </c>
      <c r="C10" s="8">
        <f>14048.64+75610.53</f>
        <v>89659.17</v>
      </c>
      <c r="D10" s="18">
        <f>C10+май!D10</f>
        <v>417512.00999999995</v>
      </c>
      <c r="E10" s="9">
        <f>12668.37+77777.61</f>
        <v>90445.98</v>
      </c>
      <c r="F10" s="18">
        <f>E10+май!F10</f>
        <v>466210.49999999994</v>
      </c>
      <c r="G10" s="18">
        <f t="shared" si="0"/>
        <v>786.80999999999767</v>
      </c>
      <c r="H10" s="20">
        <f t="shared" si="0"/>
        <v>48698.489999999991</v>
      </c>
      <c r="I10" s="9"/>
      <c r="J10" s="20">
        <f>I10+май!J10</f>
        <v>0</v>
      </c>
      <c r="K10" s="8"/>
      <c r="L10" s="18">
        <f>K10+май!L10</f>
        <v>0</v>
      </c>
    </row>
    <row r="11" spans="1:13">
      <c r="A11" s="1">
        <f t="shared" si="1"/>
        <v>9</v>
      </c>
      <c r="B11" s="34" t="str">
        <f>май!B11</f>
        <v>Холодная вода</v>
      </c>
      <c r="C11" s="8">
        <f>44028.04+8262.45</f>
        <v>52290.490000000005</v>
      </c>
      <c r="D11" s="18">
        <f>C11+май!D11</f>
        <v>242365.19</v>
      </c>
      <c r="E11" s="9">
        <f>8509.56+44874.4</f>
        <v>53383.96</v>
      </c>
      <c r="F11" s="18">
        <f>E11+май!F11</f>
        <v>261528.21</v>
      </c>
      <c r="G11" s="18">
        <f t="shared" si="0"/>
        <v>1093.4699999999939</v>
      </c>
      <c r="H11" s="20">
        <f t="shared" si="0"/>
        <v>19163.01999999999</v>
      </c>
      <c r="I11" s="9"/>
      <c r="J11" s="20">
        <f>I11+май!J11</f>
        <v>0</v>
      </c>
      <c r="K11" s="8"/>
      <c r="L11" s="18">
        <f>K11+май!L11</f>
        <v>0</v>
      </c>
    </row>
    <row r="12" spans="1:13">
      <c r="A12" s="1">
        <f t="shared" si="1"/>
        <v>10</v>
      </c>
      <c r="B12" s="34" t="str">
        <f>май!B12</f>
        <v>Канализирование х.воды</v>
      </c>
      <c r="C12" s="8">
        <f>0+0</f>
        <v>0</v>
      </c>
      <c r="D12" s="18">
        <f>C12+май!D12</f>
        <v>0</v>
      </c>
      <c r="E12" s="9">
        <f>0+0</f>
        <v>0</v>
      </c>
      <c r="F12" s="18">
        <f>E12+май!F12</f>
        <v>0</v>
      </c>
      <c r="G12" s="18">
        <f t="shared" si="0"/>
        <v>0</v>
      </c>
      <c r="H12" s="20">
        <f t="shared" si="0"/>
        <v>0</v>
      </c>
      <c r="I12" s="9"/>
      <c r="J12" s="20">
        <f>I12+май!J12</f>
        <v>0</v>
      </c>
      <c r="K12" s="8"/>
      <c r="L12" s="18">
        <f>K12+май!L12</f>
        <v>0</v>
      </c>
    </row>
    <row r="13" spans="1:13">
      <c r="A13" s="1">
        <f t="shared" si="1"/>
        <v>11</v>
      </c>
      <c r="B13" s="34" t="str">
        <f>май!B13</f>
        <v>Канализирование г.воды</v>
      </c>
      <c r="C13" s="8">
        <f>0+0</f>
        <v>0</v>
      </c>
      <c r="D13" s="18">
        <f>C13+май!D13</f>
        <v>0</v>
      </c>
      <c r="E13" s="9">
        <f>0+0</f>
        <v>0</v>
      </c>
      <c r="F13" s="18">
        <f>E13+май!F13</f>
        <v>0</v>
      </c>
      <c r="G13" s="18">
        <f t="shared" si="0"/>
        <v>0</v>
      </c>
      <c r="H13" s="20">
        <f t="shared" si="0"/>
        <v>0</v>
      </c>
      <c r="I13" s="9"/>
      <c r="J13" s="20">
        <f>I13+май!J13</f>
        <v>0</v>
      </c>
      <c r="K13" s="8"/>
      <c r="L13" s="18">
        <f>K13+май!L13</f>
        <v>0</v>
      </c>
    </row>
    <row r="14" spans="1:13">
      <c r="A14" s="1">
        <f t="shared" si="1"/>
        <v>12</v>
      </c>
      <c r="B14" s="34" t="str">
        <f>май!B14</f>
        <v>Тек.ремонт общ.имущ.дома</v>
      </c>
      <c r="C14" s="8">
        <f>4961.63+29948.54</f>
        <v>34910.17</v>
      </c>
      <c r="D14" s="18">
        <f>C14+май!D14</f>
        <v>167251.84999999998</v>
      </c>
      <c r="E14" s="9">
        <f>31750.81+4052.65</f>
        <v>35803.46</v>
      </c>
      <c r="F14" s="18">
        <f>E14+май!F14</f>
        <v>190619.96</v>
      </c>
      <c r="G14" s="18">
        <f t="shared" si="0"/>
        <v>893.29000000000087</v>
      </c>
      <c r="H14" s="20">
        <f t="shared" si="0"/>
        <v>23368.110000000015</v>
      </c>
      <c r="I14" s="9"/>
      <c r="J14" s="20">
        <f>I14+май!J14</f>
        <v>0</v>
      </c>
      <c r="K14" s="8"/>
      <c r="L14" s="18">
        <f>K14+май!L14</f>
        <v>0</v>
      </c>
    </row>
    <row r="15" spans="1:13">
      <c r="A15" s="1">
        <f t="shared" si="1"/>
        <v>13</v>
      </c>
      <c r="B15" s="34" t="str">
        <f>май!B15</f>
        <v>Управление многокварт.домом</v>
      </c>
      <c r="C15" s="8">
        <f>1945.58+11788.93</f>
        <v>13734.51</v>
      </c>
      <c r="D15" s="18">
        <f>C15+май!D15</f>
        <v>65628.7</v>
      </c>
      <c r="E15" s="9">
        <f>11134.96+1419.37</f>
        <v>12554.329999999998</v>
      </c>
      <c r="F15" s="18">
        <f>E15+май!F15</f>
        <v>69836.81</v>
      </c>
      <c r="G15" s="18">
        <f t="shared" si="0"/>
        <v>-1180.1800000000021</v>
      </c>
      <c r="H15" s="20">
        <f t="shared" si="0"/>
        <v>4208.1100000000006</v>
      </c>
      <c r="I15" s="9"/>
      <c r="J15" s="20">
        <f>I15+май!J15</f>
        <v>0</v>
      </c>
      <c r="K15" s="8"/>
      <c r="L15" s="18">
        <f>K15+май!L15</f>
        <v>0</v>
      </c>
    </row>
    <row r="16" spans="1:13">
      <c r="A16" s="1">
        <f t="shared" si="1"/>
        <v>14</v>
      </c>
      <c r="B16" s="34" t="str">
        <f>май!B16</f>
        <v>Водоотведение (кв)</v>
      </c>
      <c r="C16" s="8">
        <f>14371.04+75650.24</f>
        <v>90021.28</v>
      </c>
      <c r="D16" s="18">
        <f>C16+май!D16</f>
        <v>415098.25</v>
      </c>
      <c r="E16" s="9">
        <f>78937.52+14853.91</f>
        <v>93791.430000000008</v>
      </c>
      <c r="F16" s="18">
        <f>E16+май!F16</f>
        <v>451900.50000000006</v>
      </c>
      <c r="G16" s="18">
        <f t="shared" si="0"/>
        <v>3770.1500000000087</v>
      </c>
      <c r="H16" s="20">
        <f t="shared" si="0"/>
        <v>36802.250000000058</v>
      </c>
      <c r="I16" s="9"/>
      <c r="J16" s="20">
        <f>I16+май!J16</f>
        <v>0</v>
      </c>
      <c r="K16" s="8"/>
      <c r="L16" s="18">
        <f>K16+май!L16</f>
        <v>0</v>
      </c>
    </row>
    <row r="17" spans="1:12">
      <c r="A17" s="1">
        <f t="shared" si="1"/>
        <v>15</v>
      </c>
      <c r="B17" s="34" t="str">
        <f>май!B17</f>
        <v>Эксплуатация общедомовых ПУ</v>
      </c>
      <c r="C17" s="8">
        <f>526.76+3191.83</f>
        <v>3718.59</v>
      </c>
      <c r="D17" s="18">
        <f>C17+май!D17</f>
        <v>17768.760000000002</v>
      </c>
      <c r="E17" s="9">
        <f>3508.27+482.7</f>
        <v>3990.97</v>
      </c>
      <c r="F17" s="18">
        <f>E17+май!F17</f>
        <v>20446.25</v>
      </c>
      <c r="G17" s="18">
        <f t="shared" si="0"/>
        <v>272.37999999999965</v>
      </c>
      <c r="H17" s="20">
        <f t="shared" si="0"/>
        <v>2677.489999999998</v>
      </c>
      <c r="I17" s="9"/>
      <c r="J17" s="20">
        <f>I17+май!J17</f>
        <v>0</v>
      </c>
      <c r="K17" s="8"/>
      <c r="L17" s="18">
        <f>K17+май!L17</f>
        <v>0</v>
      </c>
    </row>
    <row r="18" spans="1:12">
      <c r="A18" s="1">
        <f t="shared" si="1"/>
        <v>16</v>
      </c>
      <c r="B18" s="34" t="str">
        <f>май!B18</f>
        <v>Хол.водоснабжение(о/д нужды)</v>
      </c>
      <c r="C18" s="8">
        <f>228.72+1409.3</f>
        <v>1638.02</v>
      </c>
      <c r="D18" s="18">
        <f>C18+май!D18</f>
        <v>10030.370000000001</v>
      </c>
      <c r="E18" s="9">
        <f>1669.76+554.05</f>
        <v>2223.81</v>
      </c>
      <c r="F18" s="18">
        <f>E18+май!F18</f>
        <v>12360.7</v>
      </c>
      <c r="G18" s="18">
        <f t="shared" si="0"/>
        <v>585.79</v>
      </c>
      <c r="H18" s="20">
        <f t="shared" si="0"/>
        <v>2330.33</v>
      </c>
      <c r="I18" s="9"/>
      <c r="J18" s="20">
        <f>I18+май!J18</f>
        <v>0</v>
      </c>
      <c r="K18" s="8"/>
      <c r="L18" s="18">
        <f>K18+май!L18</f>
        <v>0</v>
      </c>
    </row>
    <row r="19" spans="1:12">
      <c r="A19" s="1">
        <f t="shared" si="1"/>
        <v>17</v>
      </c>
      <c r="B19" s="34" t="str">
        <f>май!B19</f>
        <v>Водоотведение(о/д нужды)</v>
      </c>
      <c r="C19" s="8">
        <f>0+0</f>
        <v>0</v>
      </c>
      <c r="D19" s="18">
        <f>C19+май!D19</f>
        <v>0</v>
      </c>
      <c r="E19" s="9">
        <f>31.04+195.61</f>
        <v>226.65</v>
      </c>
      <c r="F19" s="18">
        <f>E19+май!F19</f>
        <v>226.65</v>
      </c>
      <c r="G19" s="18">
        <f t="shared" si="0"/>
        <v>226.65</v>
      </c>
      <c r="H19" s="20">
        <f t="shared" si="0"/>
        <v>226.65</v>
      </c>
      <c r="I19" s="9"/>
      <c r="J19" s="20">
        <f>I19+май!J19</f>
        <v>0</v>
      </c>
      <c r="K19" s="8"/>
      <c r="L19" s="18">
        <f>K19+май!L19</f>
        <v>0</v>
      </c>
    </row>
    <row r="20" spans="1:12">
      <c r="A20" s="1">
        <f t="shared" si="1"/>
        <v>18</v>
      </c>
      <c r="B20" s="34" t="str">
        <f>май!B20</f>
        <v>Отопление (о/д нужды)</v>
      </c>
      <c r="C20" s="8">
        <f>0+0</f>
        <v>0</v>
      </c>
      <c r="D20" s="18">
        <f>C20+май!D20</f>
        <v>0</v>
      </c>
      <c r="E20" s="9">
        <f>327.36+927.19</f>
        <v>1254.5500000000002</v>
      </c>
      <c r="F20" s="18">
        <f>E20+май!F20</f>
        <v>1286.5400000000002</v>
      </c>
      <c r="G20" s="18">
        <f t="shared" si="0"/>
        <v>1254.5500000000002</v>
      </c>
      <c r="H20" s="20">
        <f t="shared" si="0"/>
        <v>1286.5400000000002</v>
      </c>
      <c r="I20" s="9"/>
      <c r="J20" s="20">
        <f>I20+май!J20</f>
        <v>0</v>
      </c>
      <c r="K20" s="8"/>
      <c r="L20" s="18">
        <f>K20+май!L20</f>
        <v>0</v>
      </c>
    </row>
    <row r="21" spans="1:12">
      <c r="A21" s="1">
        <f t="shared" si="1"/>
        <v>19</v>
      </c>
      <c r="B21" s="34" t="str">
        <f>май!B21</f>
        <v>Электроснабжение(оющед.нужд)</v>
      </c>
      <c r="C21" s="8">
        <f>5097.8+31977.53</f>
        <v>37075.33</v>
      </c>
      <c r="D21" s="18">
        <f>C21+май!D21</f>
        <v>174302.72000000003</v>
      </c>
      <c r="E21" s="9">
        <f>33856.38+4351.11</f>
        <v>38207.49</v>
      </c>
      <c r="F21" s="18">
        <f>E21+май!F21</f>
        <v>217489.08999999997</v>
      </c>
      <c r="G21" s="18">
        <f t="shared" si="0"/>
        <v>1132.1599999999962</v>
      </c>
      <c r="H21" s="20">
        <f t="shared" si="0"/>
        <v>43186.369999999937</v>
      </c>
      <c r="I21" s="9"/>
      <c r="J21" s="20">
        <f>I21+май!J21</f>
        <v>0</v>
      </c>
      <c r="K21" s="8"/>
      <c r="L21" s="18">
        <f>K21+май!L21</f>
        <v>0</v>
      </c>
    </row>
    <row r="22" spans="1:12" ht="14.25" customHeight="1">
      <c r="A22" s="1">
        <f t="shared" si="1"/>
        <v>20</v>
      </c>
      <c r="B22" s="34" t="str">
        <f>май!B22</f>
        <v>Горячее водоснабжение(о/д нужды)</v>
      </c>
      <c r="C22" s="8">
        <f>538.18+3327.41</f>
        <v>3865.5899999999997</v>
      </c>
      <c r="D22" s="18">
        <f>C22+май!D22</f>
        <v>23547.210000000003</v>
      </c>
      <c r="E22" s="9">
        <f>3370.44+483.98</f>
        <v>3854.42</v>
      </c>
      <c r="F22" s="18">
        <f>E22+май!F22</f>
        <v>22214.959999999999</v>
      </c>
      <c r="G22" s="18">
        <f t="shared" si="0"/>
        <v>-11.169999999999618</v>
      </c>
      <c r="H22" s="20">
        <f t="shared" si="0"/>
        <v>-1332.2500000000036</v>
      </c>
      <c r="I22" s="9"/>
      <c r="J22" s="20">
        <f>I22+май!J22</f>
        <v>0</v>
      </c>
      <c r="K22" s="8"/>
      <c r="L22" s="18">
        <f>K22+май!L22</f>
        <v>0</v>
      </c>
    </row>
    <row r="23" spans="1:12">
      <c r="A23" s="22"/>
      <c r="B23" s="38" t="s">
        <v>12</v>
      </c>
      <c r="C23" s="23">
        <f t="shared" ref="C23:L23" si="2">SUM(C3:C22)</f>
        <v>567902.81999999995</v>
      </c>
      <c r="D23" s="18">
        <f t="shared" si="2"/>
        <v>3493802.49</v>
      </c>
      <c r="E23" s="24">
        <f t="shared" si="2"/>
        <v>723758.26000000013</v>
      </c>
      <c r="F23" s="18">
        <f t="shared" si="2"/>
        <v>4052895.08</v>
      </c>
      <c r="G23" s="18">
        <f t="shared" si="2"/>
        <v>155855.44</v>
      </c>
      <c r="H23" s="20">
        <f t="shared" si="2"/>
        <v>559092.59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>
      <c r="B25" s="41" t="s">
        <v>36</v>
      </c>
      <c r="C25" s="9">
        <f t="shared" ref="C25:H25" si="3">C3+C6+C7+C8+C9+C14+C15+C17</f>
        <v>148553.43000000002</v>
      </c>
      <c r="D25" s="9">
        <f t="shared" si="3"/>
        <v>728505.6399999999</v>
      </c>
      <c r="E25" s="9">
        <f t="shared" si="3"/>
        <v>151574.43</v>
      </c>
      <c r="F25" s="9">
        <f t="shared" si="3"/>
        <v>833239.49</v>
      </c>
      <c r="G25" s="9">
        <f t="shared" si="3"/>
        <v>3020.9999999999914</v>
      </c>
      <c r="H25" s="9">
        <f t="shared" si="3"/>
        <v>104733.85000000006</v>
      </c>
    </row>
    <row r="27" spans="1:12" ht="3.75" customHeight="1"/>
    <row r="28" spans="1:12">
      <c r="B28" s="1" t="s">
        <v>38</v>
      </c>
      <c r="C28" s="9">
        <f>C11+C12+C13+C16+C18+C19</f>
        <v>143949.79</v>
      </c>
      <c r="D28" s="9">
        <f t="shared" ref="D28:J28" si="4">D11+D12+D13+D16+D18+D19</f>
        <v>667493.80999999994</v>
      </c>
      <c r="E28" s="9">
        <f t="shared" si="4"/>
        <v>149625.85</v>
      </c>
      <c r="F28" s="9">
        <f t="shared" si="4"/>
        <v>726016.06</v>
      </c>
      <c r="G28" s="9">
        <f t="shared" si="4"/>
        <v>5676.0600000000022</v>
      </c>
      <c r="H28" s="9">
        <f t="shared" si="4"/>
        <v>58522.250000000051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126734.5</v>
      </c>
      <c r="D29" s="9">
        <f t="shared" ref="D29:J29" si="5">D10+D21</f>
        <v>591814.73</v>
      </c>
      <c r="E29" s="9">
        <f t="shared" si="5"/>
        <v>128653.47</v>
      </c>
      <c r="F29" s="9">
        <f t="shared" si="5"/>
        <v>683699.58999999985</v>
      </c>
      <c r="G29" s="9">
        <f t="shared" si="5"/>
        <v>1918.9699999999939</v>
      </c>
      <c r="H29" s="9">
        <f t="shared" si="5"/>
        <v>91884.859999999928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148665.1</v>
      </c>
      <c r="D30" s="9">
        <f t="shared" ref="D30:J30" si="6">D4+D5+D20+D22</f>
        <v>1505988.31</v>
      </c>
      <c r="E30" s="9">
        <f t="shared" si="6"/>
        <v>293904.51</v>
      </c>
      <c r="F30" s="9">
        <f t="shared" si="6"/>
        <v>1809939.94</v>
      </c>
      <c r="G30" s="9">
        <f t="shared" si="6"/>
        <v>145239.40999999997</v>
      </c>
      <c r="H30" s="9">
        <f t="shared" si="6"/>
        <v>303951.62999999995</v>
      </c>
      <c r="I30" s="9">
        <f t="shared" si="6"/>
        <v>0</v>
      </c>
      <c r="J30" s="9">
        <f t="shared" si="6"/>
        <v>0</v>
      </c>
    </row>
    <row r="33" spans="9:10">
      <c r="I33">
        <v>84674.25</v>
      </c>
      <c r="J33">
        <v>100517.29</v>
      </c>
    </row>
    <row r="34" spans="9:10">
      <c r="I34">
        <v>483228.57</v>
      </c>
      <c r="J34">
        <v>623240.97</v>
      </c>
    </row>
    <row r="35" spans="9:10">
      <c r="I35" s="11">
        <f>I33+I34</f>
        <v>567902.82000000007</v>
      </c>
      <c r="J35" s="11">
        <f>J33+J34</f>
        <v>723758.26</v>
      </c>
    </row>
    <row r="37" spans="9:10">
      <c r="I37" s="64"/>
    </row>
  </sheetData>
  <phoneticPr fontId="0" type="noConversion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E14" sqref="E14"/>
    </sheetView>
  </sheetViews>
  <sheetFormatPr defaultRowHeight="12.75"/>
  <cols>
    <col min="1" max="1" width="3.5703125" customWidth="1"/>
    <col min="2" max="2" width="32.42578125" style="36" customWidth="1"/>
    <col min="3" max="3" width="10.85546875" customWidth="1"/>
    <col min="4" max="4" width="11.42578125" customWidth="1"/>
    <col min="5" max="5" width="12.140625" customWidth="1"/>
    <col min="6" max="6" width="11.7109375" customWidth="1"/>
    <col min="7" max="7" width="11" customWidth="1"/>
    <col min="8" max="8" width="12.28515625" customWidth="1"/>
    <col min="9" max="10" width="11.28515625" customWidth="1"/>
    <col min="11" max="11" width="10.140625" bestFit="1" customWidth="1"/>
    <col min="12" max="12" width="11.28515625" customWidth="1"/>
    <col min="13" max="13" width="10.7109375" bestFit="1" customWidth="1"/>
  </cols>
  <sheetData>
    <row r="1" spans="1:13">
      <c r="E1" s="11" t="s">
        <v>19</v>
      </c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июнь!B3</f>
        <v>Содержание общ.имущ.дома</v>
      </c>
      <c r="C3" s="8">
        <v>69721.850000000006</v>
      </c>
      <c r="D3" s="18">
        <f>C3+июнь!D3</f>
        <v>386617.81999999995</v>
      </c>
      <c r="E3" s="66">
        <f>68390.65+8494.03</f>
        <v>76884.679999999993</v>
      </c>
      <c r="F3" s="18">
        <f>E3+июнь!F3</f>
        <v>425713.88</v>
      </c>
      <c r="G3" s="18">
        <f>E3-C3</f>
        <v>7162.8299999999872</v>
      </c>
      <c r="H3" s="20">
        <f>F3-D3</f>
        <v>39096.060000000056</v>
      </c>
      <c r="I3" s="9"/>
      <c r="J3" s="20">
        <f>I3+июнь!J3</f>
        <v>0</v>
      </c>
      <c r="K3" s="8"/>
      <c r="L3" s="18">
        <f>K3+июнь!L3</f>
        <v>0</v>
      </c>
    </row>
    <row r="4" spans="1:13">
      <c r="A4" s="1">
        <f>A3+1</f>
        <v>2</v>
      </c>
      <c r="B4" s="34" t="str">
        <f>июнь!B4</f>
        <v>Отопление</v>
      </c>
      <c r="C4" s="8">
        <v>0</v>
      </c>
      <c r="D4" s="18">
        <f>C4+июнь!D4</f>
        <v>820609.08</v>
      </c>
      <c r="E4" s="66">
        <f>62552.77+9584.88</f>
        <v>72137.649999999994</v>
      </c>
      <c r="F4" s="18">
        <f>E4+июнь!F4</f>
        <v>1169707.5099999998</v>
      </c>
      <c r="G4" s="18">
        <f t="shared" ref="G4:H22" si="0">E4-C4</f>
        <v>72137.649999999994</v>
      </c>
      <c r="H4" s="20">
        <f t="shared" si="0"/>
        <v>349098.42999999982</v>
      </c>
      <c r="I4" s="9"/>
      <c r="J4" s="20">
        <f>I4+июнь!J4</f>
        <v>0</v>
      </c>
      <c r="K4" s="8"/>
      <c r="L4" s="18">
        <f>K4+июнь!L4</f>
        <v>0</v>
      </c>
      <c r="M4" s="25">
        <f>L4-J4</f>
        <v>0</v>
      </c>
    </row>
    <row r="5" spans="1:13">
      <c r="A5" s="1">
        <f t="shared" ref="A5:A22" si="1">A4+1</f>
        <v>3</v>
      </c>
      <c r="B5" s="65" t="str">
        <f>июнь!B5</f>
        <v>Горячее водоснабжение</v>
      </c>
      <c r="C5" s="8">
        <f xml:space="preserve"> 139354.32+175.25</f>
        <v>139529.57</v>
      </c>
      <c r="D5" s="18">
        <f>C5+июнь!D5</f>
        <v>801361.59000000008</v>
      </c>
      <c r="E5" s="66">
        <f>129015.67+16557.73+1209.02</f>
        <v>146782.41999999998</v>
      </c>
      <c r="F5" s="18">
        <f>E5+июнь!F5</f>
        <v>835651</v>
      </c>
      <c r="G5" s="18">
        <f t="shared" si="0"/>
        <v>7252.8499999999767</v>
      </c>
      <c r="H5" s="20">
        <f t="shared" si="0"/>
        <v>34289.409999999916</v>
      </c>
      <c r="I5" s="9"/>
      <c r="J5" s="20">
        <f>I5+июнь!J5</f>
        <v>0</v>
      </c>
      <c r="K5" s="8"/>
      <c r="L5" s="18">
        <f>K5+июнь!L5</f>
        <v>0</v>
      </c>
    </row>
    <row r="6" spans="1:13">
      <c r="A6" s="1">
        <f t="shared" si="1"/>
        <v>4</v>
      </c>
      <c r="B6" s="34" t="str">
        <f>июнь!B6</f>
        <v>Сод.и ремонт АППЗ</v>
      </c>
      <c r="C6" s="8">
        <v>2576.81</v>
      </c>
      <c r="D6" s="18">
        <f>C6+июнь!D6</f>
        <v>15195.38</v>
      </c>
      <c r="E6" s="66">
        <f>339.06+2668.58</f>
        <v>3007.64</v>
      </c>
      <c r="F6" s="18">
        <f>E6+июнь!F6</f>
        <v>17071.050000000003</v>
      </c>
      <c r="G6" s="18">
        <f t="shared" si="0"/>
        <v>430.82999999999993</v>
      </c>
      <c r="H6" s="20">
        <f t="shared" si="0"/>
        <v>1875.6700000000037</v>
      </c>
      <c r="I6" s="9"/>
      <c r="J6" s="20">
        <f>I6+июнь!J6</f>
        <v>0</v>
      </c>
      <c r="K6" s="8"/>
      <c r="L6" s="18">
        <f>K6+июнь!L6</f>
        <v>0</v>
      </c>
    </row>
    <row r="7" spans="1:13">
      <c r="A7" s="1">
        <f t="shared" si="1"/>
        <v>5</v>
      </c>
      <c r="B7" s="34" t="str">
        <f>июнь!B7</f>
        <v>Сод.и ремонт лифтов</v>
      </c>
      <c r="C7" s="8">
        <v>12911.67</v>
      </c>
      <c r="D7" s="18">
        <f>C7+июнь!D7</f>
        <v>78864.61</v>
      </c>
      <c r="E7" s="66">
        <f>2018.38+13954.93</f>
        <v>15973.310000000001</v>
      </c>
      <c r="F7" s="18">
        <f>E7+июнь!F7</f>
        <v>114255.73</v>
      </c>
      <c r="G7" s="18">
        <f t="shared" si="0"/>
        <v>3061.6400000000012</v>
      </c>
      <c r="H7" s="20">
        <f t="shared" si="0"/>
        <v>35391.119999999995</v>
      </c>
      <c r="I7" s="9"/>
      <c r="J7" s="20">
        <f>I7+июнь!J7</f>
        <v>0</v>
      </c>
      <c r="K7" s="8"/>
      <c r="L7" s="18">
        <f>K7+июнь!L7</f>
        <v>0</v>
      </c>
    </row>
    <row r="8" spans="1:13">
      <c r="A8" s="1">
        <f t="shared" si="1"/>
        <v>6</v>
      </c>
      <c r="B8" s="34" t="str">
        <f>июнь!B8</f>
        <v>Очистка мусоропроводов</v>
      </c>
      <c r="C8" s="8">
        <v>8333.8700000000008</v>
      </c>
      <c r="D8" s="18">
        <f>C8+июнь!D8</f>
        <v>47161.37</v>
      </c>
      <c r="E8" s="66">
        <v>9410.34</v>
      </c>
      <c r="F8" s="18">
        <f>E8+июнь!F8</f>
        <v>52331.579999999987</v>
      </c>
      <c r="G8" s="18">
        <f t="shared" si="0"/>
        <v>1076.4699999999993</v>
      </c>
      <c r="H8" s="20">
        <f t="shared" si="0"/>
        <v>5170.2099999999846</v>
      </c>
      <c r="I8" s="9"/>
      <c r="J8" s="20">
        <f>I8+июнь!J8</f>
        <v>0</v>
      </c>
      <c r="K8" s="8"/>
      <c r="L8" s="18">
        <f>K8+июнь!L8</f>
        <v>0</v>
      </c>
    </row>
    <row r="9" spans="1:13">
      <c r="A9" s="1">
        <f t="shared" si="1"/>
        <v>7</v>
      </c>
      <c r="B9" s="34" t="str">
        <f>июнь!B9</f>
        <v>Уборка и сан.очистка зем.уч.</v>
      </c>
      <c r="C9" s="8">
        <v>10802.74</v>
      </c>
      <c r="D9" s="18">
        <f>C9+июнь!D9</f>
        <v>54364.09</v>
      </c>
      <c r="E9" s="66">
        <f>1243.49+10008.46</f>
        <v>11251.949999999999</v>
      </c>
      <c r="F9" s="18">
        <f>E9+июнь!F9</f>
        <v>59492.149999999994</v>
      </c>
      <c r="G9" s="18">
        <f t="shared" si="0"/>
        <v>449.20999999999913</v>
      </c>
      <c r="H9" s="20">
        <f t="shared" si="0"/>
        <v>5128.0599999999977</v>
      </c>
      <c r="I9" s="9"/>
      <c r="J9" s="20">
        <f>I9+июнь!J9</f>
        <v>0</v>
      </c>
      <c r="K9" s="8"/>
      <c r="L9" s="18">
        <f>K9+июнь!L9</f>
        <v>0</v>
      </c>
    </row>
    <row r="10" spans="1:13">
      <c r="A10" s="1">
        <f t="shared" si="1"/>
        <v>8</v>
      </c>
      <c r="B10" s="34" t="str">
        <f>июнь!B10</f>
        <v>Электроснабжение(инд.потр)</v>
      </c>
      <c r="C10" s="8">
        <v>100135.73</v>
      </c>
      <c r="D10" s="18">
        <f>C10+июнь!D10</f>
        <v>517647.73999999993</v>
      </c>
      <c r="E10" s="66">
        <f>87502.92+12899.14</f>
        <v>100402.06</v>
      </c>
      <c r="F10" s="18">
        <f>E10+июнь!F10</f>
        <v>566612.55999999994</v>
      </c>
      <c r="G10" s="18">
        <f t="shared" si="0"/>
        <v>266.33000000000175</v>
      </c>
      <c r="H10" s="20">
        <f t="shared" si="0"/>
        <v>48964.820000000007</v>
      </c>
      <c r="I10" s="9"/>
      <c r="J10" s="20">
        <f>I10+июнь!J10</f>
        <v>0</v>
      </c>
      <c r="K10" s="8"/>
      <c r="L10" s="18">
        <f>K10+июнь!L10</f>
        <v>0</v>
      </c>
    </row>
    <row r="11" spans="1:13">
      <c r="A11" s="1">
        <f t="shared" si="1"/>
        <v>9</v>
      </c>
      <c r="B11" s="34" t="str">
        <f>июнь!B11</f>
        <v>Холодная вода</v>
      </c>
      <c r="C11" s="8">
        <v>54155.67</v>
      </c>
      <c r="D11" s="18">
        <f>C11+июнь!D11</f>
        <v>296520.86</v>
      </c>
      <c r="E11" s="66">
        <f>6937.64+48258.86</f>
        <v>55196.5</v>
      </c>
      <c r="F11" s="18">
        <f>E11+июнь!F11</f>
        <v>316724.70999999996</v>
      </c>
      <c r="G11" s="18">
        <f t="shared" si="0"/>
        <v>1040.8300000000017</v>
      </c>
      <c r="H11" s="20">
        <f t="shared" si="0"/>
        <v>20203.849999999977</v>
      </c>
      <c r="I11" s="9"/>
      <c r="J11" s="20">
        <f>I11+июнь!J11</f>
        <v>0</v>
      </c>
      <c r="K11" s="8"/>
      <c r="L11" s="18">
        <f>K11+июнь!L11</f>
        <v>0</v>
      </c>
    </row>
    <row r="12" spans="1:13">
      <c r="A12" s="1">
        <f t="shared" si="1"/>
        <v>10</v>
      </c>
      <c r="B12" s="34" t="str">
        <f>июнь!B12</f>
        <v>Канализирование х.воды</v>
      </c>
      <c r="C12" s="8">
        <v>0</v>
      </c>
      <c r="D12" s="18">
        <f>C12+июнь!D12</f>
        <v>0</v>
      </c>
      <c r="E12" s="66">
        <f>0+0</f>
        <v>0</v>
      </c>
      <c r="F12" s="18">
        <f>E12+июнь!F12</f>
        <v>0</v>
      </c>
      <c r="G12" s="18">
        <f t="shared" si="0"/>
        <v>0</v>
      </c>
      <c r="H12" s="20">
        <f t="shared" si="0"/>
        <v>0</v>
      </c>
      <c r="I12" s="9"/>
      <c r="J12" s="20">
        <f>I12+июнь!J12</f>
        <v>0</v>
      </c>
      <c r="K12" s="8"/>
      <c r="L12" s="18">
        <f>K12+июнь!L12</f>
        <v>0</v>
      </c>
    </row>
    <row r="13" spans="1:13">
      <c r="A13" s="1">
        <f t="shared" si="1"/>
        <v>11</v>
      </c>
      <c r="B13" s="34" t="str">
        <f>июнь!B13</f>
        <v>Канализирование г.воды</v>
      </c>
      <c r="C13" s="8">
        <v>0</v>
      </c>
      <c r="D13" s="18">
        <f>C13+июнь!D13</f>
        <v>0</v>
      </c>
      <c r="E13" s="66">
        <v>0</v>
      </c>
      <c r="F13" s="18">
        <f>E13+июнь!F13</f>
        <v>0</v>
      </c>
      <c r="G13" s="18">
        <f t="shared" si="0"/>
        <v>0</v>
      </c>
      <c r="H13" s="20">
        <f t="shared" si="0"/>
        <v>0</v>
      </c>
      <c r="I13" s="9"/>
      <c r="J13" s="20">
        <f>I13+июнь!J13</f>
        <v>0</v>
      </c>
      <c r="K13" s="8"/>
      <c r="L13" s="18">
        <f>K13+июнь!L13</f>
        <v>0</v>
      </c>
    </row>
    <row r="14" spans="1:13">
      <c r="A14" s="1">
        <f t="shared" si="1"/>
        <v>12</v>
      </c>
      <c r="B14" s="34" t="str">
        <f>июнь!B14</f>
        <v>Тек.ремонт общ.имущ.дома</v>
      </c>
      <c r="C14" s="8">
        <v>36568.949999999997</v>
      </c>
      <c r="D14" s="18">
        <f>C14+июнь!D14</f>
        <v>203820.79999999999</v>
      </c>
      <c r="E14" s="66">
        <f>4476.85+37367.26</f>
        <v>41844.11</v>
      </c>
      <c r="F14" s="18">
        <f>E14+июнь!F14</f>
        <v>232464.07</v>
      </c>
      <c r="G14" s="18">
        <f t="shared" si="0"/>
        <v>5275.1600000000035</v>
      </c>
      <c r="H14" s="20">
        <f t="shared" si="0"/>
        <v>28643.270000000019</v>
      </c>
      <c r="I14" s="9"/>
      <c r="J14" s="20">
        <f>I14+июнь!J14</f>
        <v>0</v>
      </c>
      <c r="K14" s="8"/>
      <c r="L14" s="18">
        <f>K14+июнь!L14</f>
        <v>0</v>
      </c>
    </row>
    <row r="15" spans="1:13">
      <c r="A15" s="1">
        <f t="shared" si="1"/>
        <v>13</v>
      </c>
      <c r="B15" s="34" t="str">
        <f>июнь!B15</f>
        <v>Управление многокварт.домом</v>
      </c>
      <c r="C15" s="8">
        <v>15266.46</v>
      </c>
      <c r="D15" s="18">
        <f>C15+июнь!D15</f>
        <v>80895.16</v>
      </c>
      <c r="E15" s="66">
        <f>14323.13+1497.13</f>
        <v>15820.259999999998</v>
      </c>
      <c r="F15" s="18">
        <f>E15+июнь!F15</f>
        <v>85657.069999999992</v>
      </c>
      <c r="G15" s="18">
        <f t="shared" si="0"/>
        <v>553.79999999999927</v>
      </c>
      <c r="H15" s="20">
        <f t="shared" si="0"/>
        <v>4761.9099999999889</v>
      </c>
      <c r="I15" s="9"/>
      <c r="J15" s="20">
        <f>I15+июнь!J15</f>
        <v>0</v>
      </c>
      <c r="K15" s="8"/>
      <c r="L15" s="18">
        <f>K15+июнь!L15</f>
        <v>0</v>
      </c>
    </row>
    <row r="16" spans="1:13">
      <c r="A16" s="1">
        <f t="shared" si="1"/>
        <v>14</v>
      </c>
      <c r="B16" s="34" t="str">
        <f>июнь!B16</f>
        <v>Водоотведение (кв)</v>
      </c>
      <c r="C16" s="8">
        <v>92955.86</v>
      </c>
      <c r="D16" s="18">
        <f>C16+июнь!D16</f>
        <v>508054.11</v>
      </c>
      <c r="E16" s="66">
        <f>12365.66+83095.11</f>
        <v>95460.77</v>
      </c>
      <c r="F16" s="18">
        <f>E16+июнь!F16</f>
        <v>547361.27</v>
      </c>
      <c r="G16" s="18">
        <f t="shared" si="0"/>
        <v>2504.9100000000035</v>
      </c>
      <c r="H16" s="20">
        <f t="shared" si="0"/>
        <v>39307.160000000033</v>
      </c>
      <c r="I16" s="9"/>
      <c r="J16" s="20">
        <f>I16+июнь!J16</f>
        <v>0</v>
      </c>
      <c r="K16" s="8"/>
      <c r="L16" s="18">
        <f>K16+июнь!L16</f>
        <v>0</v>
      </c>
    </row>
    <row r="17" spans="1:12">
      <c r="A17" s="1">
        <f t="shared" si="1"/>
        <v>15</v>
      </c>
      <c r="B17" s="34" t="str">
        <f>июнь!B17</f>
        <v>Эксплуатация общедомовых ПУ</v>
      </c>
      <c r="C17" s="8">
        <v>3889.62</v>
      </c>
      <c r="D17" s="18">
        <f>C17+июнь!D17</f>
        <v>21658.38</v>
      </c>
      <c r="E17" s="66">
        <f>3911.34+525.09</f>
        <v>4436.43</v>
      </c>
      <c r="F17" s="18">
        <f>E17+июнь!F17</f>
        <v>24882.68</v>
      </c>
      <c r="G17" s="18">
        <f t="shared" si="0"/>
        <v>546.8100000000004</v>
      </c>
      <c r="H17" s="20">
        <f t="shared" si="0"/>
        <v>3224.2999999999993</v>
      </c>
      <c r="I17" s="9"/>
      <c r="J17" s="20">
        <f>I17+июнь!J17</f>
        <v>0</v>
      </c>
      <c r="K17" s="8"/>
      <c r="L17" s="18">
        <f>K17+июнь!L17</f>
        <v>0</v>
      </c>
    </row>
    <row r="18" spans="1:12">
      <c r="A18" s="1">
        <f t="shared" si="1"/>
        <v>16</v>
      </c>
      <c r="B18" s="34" t="str">
        <f>июнь!B18</f>
        <v>Хол.водоснабжение(о/д нужды)</v>
      </c>
      <c r="C18" s="8">
        <v>1779.03</v>
      </c>
      <c r="D18" s="18">
        <f>C18+июнь!D18</f>
        <v>11809.400000000001</v>
      </c>
      <c r="E18" s="66">
        <f>2294.24+280.59</f>
        <v>2574.83</v>
      </c>
      <c r="F18" s="18">
        <f>E18+июнь!F18</f>
        <v>14935.53</v>
      </c>
      <c r="G18" s="18">
        <f t="shared" si="0"/>
        <v>795.8</v>
      </c>
      <c r="H18" s="20">
        <f t="shared" si="0"/>
        <v>3126.1299999999992</v>
      </c>
      <c r="I18" s="9"/>
      <c r="J18" s="20">
        <f>I18+июнь!J18</f>
        <v>0</v>
      </c>
      <c r="K18" s="8"/>
      <c r="L18" s="18">
        <f>K18+июнь!L18</f>
        <v>0</v>
      </c>
    </row>
    <row r="19" spans="1:12">
      <c r="A19" s="1">
        <f t="shared" si="1"/>
        <v>17</v>
      </c>
      <c r="B19" s="34" t="str">
        <f>июнь!B19</f>
        <v>Водоотведение(о/д нужды)</v>
      </c>
      <c r="C19" s="8">
        <v>0</v>
      </c>
      <c r="D19" s="18">
        <f>C19+июнь!D19</f>
        <v>0</v>
      </c>
      <c r="E19" s="66">
        <v>0</v>
      </c>
      <c r="F19" s="18">
        <f>E19+июнь!F19</f>
        <v>226.65</v>
      </c>
      <c r="G19" s="18">
        <f t="shared" si="0"/>
        <v>0</v>
      </c>
      <c r="H19" s="20">
        <f t="shared" si="0"/>
        <v>226.65</v>
      </c>
      <c r="I19" s="9"/>
      <c r="J19" s="20">
        <f>I19+июнь!J19</f>
        <v>0</v>
      </c>
      <c r="K19" s="8"/>
      <c r="L19" s="18">
        <f>K19+июнь!L19</f>
        <v>0</v>
      </c>
    </row>
    <row r="20" spans="1:12">
      <c r="A20" s="1">
        <f t="shared" si="1"/>
        <v>18</v>
      </c>
      <c r="B20" s="34" t="str">
        <f>июнь!B20</f>
        <v>Отопление (о/д нужды)</v>
      </c>
      <c r="C20" s="8">
        <v>0</v>
      </c>
      <c r="D20" s="18">
        <f>C20+июнь!D20</f>
        <v>0</v>
      </c>
      <c r="E20" s="66">
        <v>0</v>
      </c>
      <c r="F20" s="18">
        <f>E20+июнь!F20</f>
        <v>1286.5400000000002</v>
      </c>
      <c r="G20" s="18">
        <f t="shared" si="0"/>
        <v>0</v>
      </c>
      <c r="H20" s="20">
        <f t="shared" si="0"/>
        <v>1286.5400000000002</v>
      </c>
      <c r="I20" s="9"/>
      <c r="J20" s="20">
        <f>I20+июнь!J20</f>
        <v>0</v>
      </c>
      <c r="K20" s="8"/>
      <c r="L20" s="18">
        <f>K20+июнь!L20</f>
        <v>0</v>
      </c>
    </row>
    <row r="21" spans="1:12">
      <c r="A21" s="1">
        <f t="shared" si="1"/>
        <v>19</v>
      </c>
      <c r="B21" s="34" t="str">
        <f>июнь!B21</f>
        <v>Электроснабжение(оющед.нужд)</v>
      </c>
      <c r="C21" s="8">
        <v>35972.639999999999</v>
      </c>
      <c r="D21" s="18">
        <f>C21+июнь!D21</f>
        <v>210275.36000000004</v>
      </c>
      <c r="E21" s="66">
        <v>43379.27</v>
      </c>
      <c r="F21" s="18">
        <f>E21+июнь!F21</f>
        <v>260868.35999999996</v>
      </c>
      <c r="G21" s="18">
        <f t="shared" si="0"/>
        <v>7406.6299999999974</v>
      </c>
      <c r="H21" s="20">
        <f t="shared" si="0"/>
        <v>50592.999999999913</v>
      </c>
      <c r="I21" s="9"/>
      <c r="J21" s="20">
        <f>I21+июнь!J21</f>
        <v>0</v>
      </c>
      <c r="K21" s="8"/>
      <c r="L21" s="18">
        <f>K21+июнь!L21</f>
        <v>0</v>
      </c>
    </row>
    <row r="22" spans="1:12" ht="15" customHeight="1">
      <c r="A22" s="1">
        <f t="shared" si="1"/>
        <v>20</v>
      </c>
      <c r="B22" s="34" t="str">
        <f>июнь!B22</f>
        <v>Горячее водоснабжение(о/д нужды)</v>
      </c>
      <c r="C22" s="8">
        <v>3949.51</v>
      </c>
      <c r="D22" s="18">
        <f>C22+июнь!D22</f>
        <v>27496.720000000001</v>
      </c>
      <c r="E22" s="66">
        <f>4009.46+567.79</f>
        <v>4577.25</v>
      </c>
      <c r="F22" s="18">
        <f>E22+июнь!F22</f>
        <v>26792.21</v>
      </c>
      <c r="G22" s="18">
        <f t="shared" si="0"/>
        <v>627.73999999999978</v>
      </c>
      <c r="H22" s="20">
        <f t="shared" si="0"/>
        <v>-704.51000000000204</v>
      </c>
      <c r="I22" s="9"/>
      <c r="J22" s="20">
        <f>I22+июнь!J22</f>
        <v>0</v>
      </c>
      <c r="K22" s="8"/>
      <c r="L22" s="18">
        <f>K22+июнь!L22</f>
        <v>0</v>
      </c>
    </row>
    <row r="23" spans="1:12">
      <c r="A23" s="22"/>
      <c r="B23" s="38" t="s">
        <v>12</v>
      </c>
      <c r="C23" s="23">
        <f t="shared" ref="C23:L23" si="2">SUM(C3:C22)</f>
        <v>588549.9800000001</v>
      </c>
      <c r="D23" s="18">
        <f t="shared" si="2"/>
        <v>4082352.4699999993</v>
      </c>
      <c r="E23" s="24">
        <f t="shared" si="2"/>
        <v>699139.47000000009</v>
      </c>
      <c r="F23" s="18">
        <f t="shared" si="2"/>
        <v>4752034.55</v>
      </c>
      <c r="G23" s="18">
        <f t="shared" si="2"/>
        <v>110589.48999999998</v>
      </c>
      <c r="H23" s="20">
        <f t="shared" si="2"/>
        <v>669682.07999999973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 ht="6" customHeight="1"/>
    <row r="26" spans="1:12" hidden="1"/>
    <row r="27" spans="1:12" hidden="1"/>
    <row r="28" spans="1:12">
      <c r="B28" s="1" t="s">
        <v>38</v>
      </c>
      <c r="C28" s="9">
        <f>C11+C12+C13+C16+C18+C19</f>
        <v>148890.56</v>
      </c>
      <c r="D28" s="9">
        <f t="shared" ref="D28:J28" si="3">D11+D12+D13+D16+D18+D19</f>
        <v>816384.37</v>
      </c>
      <c r="E28" s="9">
        <f t="shared" si="3"/>
        <v>153232.1</v>
      </c>
      <c r="F28" s="9">
        <f t="shared" si="3"/>
        <v>879248.16</v>
      </c>
      <c r="G28" s="9">
        <f t="shared" si="3"/>
        <v>4341.5400000000054</v>
      </c>
      <c r="H28" s="9">
        <f t="shared" si="3"/>
        <v>62863.790000000008</v>
      </c>
      <c r="I28" s="9">
        <f t="shared" si="3"/>
        <v>0</v>
      </c>
      <c r="J28" s="9">
        <f t="shared" si="3"/>
        <v>0</v>
      </c>
    </row>
    <row r="29" spans="1:12">
      <c r="B29" s="1" t="s">
        <v>39</v>
      </c>
      <c r="C29" s="9">
        <f>C10+C21</f>
        <v>136108.37</v>
      </c>
      <c r="D29" s="9">
        <f t="shared" ref="D29:J29" si="4">D10+D21</f>
        <v>727923.1</v>
      </c>
      <c r="E29" s="9">
        <f t="shared" si="4"/>
        <v>143781.32999999999</v>
      </c>
      <c r="F29" s="9">
        <f t="shared" si="4"/>
        <v>827480.91999999993</v>
      </c>
      <c r="G29" s="9">
        <f t="shared" si="4"/>
        <v>7672.9599999999991</v>
      </c>
      <c r="H29" s="9">
        <f t="shared" si="4"/>
        <v>99557.81999999992</v>
      </c>
      <c r="I29" s="9">
        <f t="shared" si="4"/>
        <v>0</v>
      </c>
      <c r="J29" s="9">
        <f t="shared" si="4"/>
        <v>0</v>
      </c>
    </row>
    <row r="30" spans="1:12">
      <c r="B30" s="1" t="s">
        <v>40</v>
      </c>
      <c r="C30" s="9">
        <f>C4+C5+C20+C22</f>
        <v>143479.08000000002</v>
      </c>
      <c r="D30" s="9">
        <f t="shared" ref="D30:J30" si="5">D4+D5+D20+D22</f>
        <v>1649467.39</v>
      </c>
      <c r="E30" s="9">
        <f t="shared" si="5"/>
        <v>223497.31999999998</v>
      </c>
      <c r="F30" s="9">
        <f t="shared" si="5"/>
        <v>2033437.2599999998</v>
      </c>
      <c r="G30" s="9">
        <f t="shared" si="5"/>
        <v>80018.239999999976</v>
      </c>
      <c r="H30" s="9">
        <f t="shared" si="5"/>
        <v>383969.8699999997</v>
      </c>
      <c r="I30" s="9">
        <f t="shared" si="5"/>
        <v>0</v>
      </c>
      <c r="J30" s="9">
        <f t="shared" si="5"/>
        <v>0</v>
      </c>
    </row>
    <row r="33" spans="4:5">
      <c r="D33">
        <v>493844.87</v>
      </c>
      <c r="E33">
        <v>615489.01</v>
      </c>
    </row>
    <row r="34" spans="4:5">
      <c r="D34">
        <v>94705.11</v>
      </c>
      <c r="E34">
        <v>83650.460000000006</v>
      </c>
    </row>
    <row r="35" spans="4:5">
      <c r="D35" s="11">
        <f>D33+D34</f>
        <v>588549.98</v>
      </c>
      <c r="E35" s="11">
        <f>E33+E34</f>
        <v>699139.47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14" sqref="E14"/>
    </sheetView>
  </sheetViews>
  <sheetFormatPr defaultRowHeight="12.75"/>
  <cols>
    <col min="1" max="1" width="4.42578125" customWidth="1"/>
    <col min="2" max="2" width="30.140625" style="36" customWidth="1"/>
    <col min="3" max="3" width="11.42578125" customWidth="1"/>
    <col min="4" max="4" width="12.28515625" customWidth="1"/>
    <col min="5" max="5" width="10.140625" bestFit="1" customWidth="1"/>
    <col min="6" max="6" width="11.85546875" customWidth="1"/>
    <col min="7" max="7" width="10.7109375" customWidth="1"/>
    <col min="8" max="8" width="13.140625" customWidth="1"/>
    <col min="9" max="9" width="11.140625" customWidth="1"/>
    <col min="10" max="10" width="12" customWidth="1"/>
    <col min="11" max="11" width="10.140625" bestFit="1" customWidth="1"/>
    <col min="12" max="12" width="11.85546875" customWidth="1"/>
    <col min="13" max="13" width="10.7109375" bestFit="1" customWidth="1"/>
  </cols>
  <sheetData>
    <row r="1" spans="1:13">
      <c r="E1" s="11" t="s">
        <v>19</v>
      </c>
    </row>
    <row r="2" spans="1:13" s="50" customFormat="1" ht="38.25">
      <c r="A2" s="44" t="s">
        <v>0</v>
      </c>
      <c r="B2" s="45" t="s">
        <v>1</v>
      </c>
      <c r="C2" s="46" t="s">
        <v>2</v>
      </c>
      <c r="D2" s="47" t="s">
        <v>3</v>
      </c>
      <c r="E2" s="48" t="s">
        <v>4</v>
      </c>
      <c r="F2" s="47" t="s">
        <v>5</v>
      </c>
      <c r="G2" s="47" t="s">
        <v>6</v>
      </c>
      <c r="H2" s="49" t="s">
        <v>7</v>
      </c>
      <c r="I2" s="48" t="s">
        <v>8</v>
      </c>
      <c r="J2" s="49" t="s">
        <v>9</v>
      </c>
      <c r="K2" s="45" t="s">
        <v>10</v>
      </c>
      <c r="L2" s="47" t="s">
        <v>11</v>
      </c>
    </row>
    <row r="3" spans="1:13" s="57" customFormat="1">
      <c r="A3" s="51">
        <v>1</v>
      </c>
      <c r="B3" s="52" t="str">
        <f>июль!B3</f>
        <v>Содержание общ.имущ.дома</v>
      </c>
      <c r="C3" s="53">
        <f>60855.92+10330.29</f>
        <v>71186.209999999992</v>
      </c>
      <c r="D3" s="54">
        <f>C3+июль!D3</f>
        <v>457804.02999999991</v>
      </c>
      <c r="E3" s="55">
        <f>6524.59+51395.71</f>
        <v>57920.3</v>
      </c>
      <c r="F3" s="54">
        <f>E3+июль!F3</f>
        <v>483634.18</v>
      </c>
      <c r="G3" s="54">
        <f>E3-C3</f>
        <v>-13265.909999999989</v>
      </c>
      <c r="H3" s="56">
        <f>F3-D3</f>
        <v>25830.150000000081</v>
      </c>
      <c r="I3" s="55"/>
      <c r="J3" s="56">
        <f>I3+июль!J3</f>
        <v>0</v>
      </c>
      <c r="K3" s="53"/>
      <c r="L3" s="54">
        <f>K3+июль!L3</f>
        <v>0</v>
      </c>
    </row>
    <row r="4" spans="1:13" s="57" customFormat="1">
      <c r="A4" s="51">
        <f>A3+1</f>
        <v>2</v>
      </c>
      <c r="B4" s="52" t="str">
        <f>июль!B4</f>
        <v>Отопление</v>
      </c>
      <c r="C4" s="53">
        <f>0+0</f>
        <v>0</v>
      </c>
      <c r="D4" s="54">
        <f>C4+июль!D4</f>
        <v>820609.08</v>
      </c>
      <c r="E4" s="55">
        <f>21111.33+3960.61</f>
        <v>25071.940000000002</v>
      </c>
      <c r="F4" s="54">
        <f>E4+июль!F4</f>
        <v>1194779.4499999997</v>
      </c>
      <c r="G4" s="54">
        <f t="shared" ref="G4:H22" si="0">E4-C4</f>
        <v>25071.940000000002</v>
      </c>
      <c r="H4" s="56">
        <f t="shared" si="0"/>
        <v>374170.36999999976</v>
      </c>
      <c r="I4" s="55"/>
      <c r="J4" s="56">
        <f>I4+июль!J4</f>
        <v>0</v>
      </c>
      <c r="K4" s="53"/>
      <c r="L4" s="54">
        <f>K4+июль!L4</f>
        <v>0</v>
      </c>
      <c r="M4" s="58">
        <f>L4-J4</f>
        <v>0</v>
      </c>
    </row>
    <row r="5" spans="1:13" s="57" customFormat="1">
      <c r="A5" s="51">
        <f t="shared" ref="A5:A22" si="1">A4+1</f>
        <v>3</v>
      </c>
      <c r="B5" s="69" t="str">
        <f>июль!B5</f>
        <v>Горячее водоснабжение</v>
      </c>
      <c r="C5" s="53">
        <f>24535.47+116790.73+0</f>
        <v>141326.20000000001</v>
      </c>
      <c r="D5" s="54">
        <f>C5+июль!D5</f>
        <v>942687.79</v>
      </c>
      <c r="E5" s="55">
        <f>101915.23+15548.66+175.25</f>
        <v>117639.14</v>
      </c>
      <c r="F5" s="54">
        <f>E5+июль!F5</f>
        <v>953290.14</v>
      </c>
      <c r="G5" s="54">
        <f t="shared" si="0"/>
        <v>-23687.060000000012</v>
      </c>
      <c r="H5" s="56">
        <f t="shared" si="0"/>
        <v>10602.349999999977</v>
      </c>
      <c r="I5" s="55"/>
      <c r="J5" s="56">
        <f>I5+июль!J5</f>
        <v>0</v>
      </c>
      <c r="K5" s="53"/>
      <c r="L5" s="54">
        <f>K5+июль!L5</f>
        <v>0</v>
      </c>
    </row>
    <row r="6" spans="1:13" s="57" customFormat="1">
      <c r="A6" s="51">
        <f t="shared" si="1"/>
        <v>4</v>
      </c>
      <c r="B6" s="52" t="str">
        <f>июль!B6</f>
        <v>Сод.и ремонт АППЗ</v>
      </c>
      <c r="C6" s="53">
        <f>381.92+2256.21</f>
        <v>2638.13</v>
      </c>
      <c r="D6" s="54">
        <f>C6+июль!D6</f>
        <v>17833.509999999998</v>
      </c>
      <c r="E6" s="55">
        <f>248.94+1920.86</f>
        <v>2169.7999999999997</v>
      </c>
      <c r="F6" s="54">
        <f>E6+июль!F6</f>
        <v>19240.850000000002</v>
      </c>
      <c r="G6" s="54">
        <f t="shared" si="0"/>
        <v>-468.33000000000038</v>
      </c>
      <c r="H6" s="56">
        <f t="shared" si="0"/>
        <v>1407.3400000000038</v>
      </c>
      <c r="I6" s="55"/>
      <c r="J6" s="56">
        <f>I6+июль!J6</f>
        <v>0</v>
      </c>
      <c r="K6" s="53"/>
      <c r="L6" s="54">
        <f>K6+июль!L6</f>
        <v>0</v>
      </c>
    </row>
    <row r="7" spans="1:13" s="57" customFormat="1">
      <c r="A7" s="51">
        <f t="shared" si="1"/>
        <v>5</v>
      </c>
      <c r="B7" s="52" t="str">
        <f>июль!B7</f>
        <v>Сод.и ремонт лифтов</v>
      </c>
      <c r="C7" s="53">
        <f>11332.23+1918.47</f>
        <v>13250.699999999999</v>
      </c>
      <c r="D7" s="54">
        <f>C7+июль!D7</f>
        <v>92115.31</v>
      </c>
      <c r="E7" s="55">
        <f>9761.82+1232.7</f>
        <v>10994.52</v>
      </c>
      <c r="F7" s="54">
        <f>E7+июль!F7</f>
        <v>125250.25</v>
      </c>
      <c r="G7" s="54">
        <f t="shared" si="0"/>
        <v>-2256.1799999999985</v>
      </c>
      <c r="H7" s="56">
        <f t="shared" si="0"/>
        <v>33134.94</v>
      </c>
      <c r="I7" s="55"/>
      <c r="J7" s="56">
        <f>I7+июль!J7</f>
        <v>0</v>
      </c>
      <c r="K7" s="53"/>
      <c r="L7" s="54">
        <f>K7+июль!L7</f>
        <v>0</v>
      </c>
    </row>
    <row r="8" spans="1:13" s="57" customFormat="1">
      <c r="A8" s="51">
        <f t="shared" si="1"/>
        <v>6</v>
      </c>
      <c r="B8" s="52" t="str">
        <f>июль!B8</f>
        <v>Очистка мусоропроводов</v>
      </c>
      <c r="C8" s="53">
        <f>1232.66+7244.75</f>
        <v>8477.41</v>
      </c>
      <c r="D8" s="54">
        <f>C8+июль!D8</f>
        <v>55638.78</v>
      </c>
      <c r="E8" s="55">
        <f>6160.59+788.57</f>
        <v>6949.16</v>
      </c>
      <c r="F8" s="54">
        <f>E8+июль!F8</f>
        <v>59280.739999999991</v>
      </c>
      <c r="G8" s="54">
        <f t="shared" si="0"/>
        <v>-1528.25</v>
      </c>
      <c r="H8" s="56">
        <f t="shared" si="0"/>
        <v>3641.9599999999919</v>
      </c>
      <c r="I8" s="55"/>
      <c r="J8" s="56">
        <f>I8+июль!J8</f>
        <v>0</v>
      </c>
      <c r="K8" s="53"/>
      <c r="L8" s="54">
        <f>K8+июль!L8</f>
        <v>0</v>
      </c>
    </row>
    <row r="9" spans="1:13" s="57" customFormat="1">
      <c r="A9" s="51">
        <f t="shared" si="1"/>
        <v>7</v>
      </c>
      <c r="B9" s="52" t="str">
        <f>июль!B9</f>
        <v>Уборка и сан.очистка зем.уч.</v>
      </c>
      <c r="C9" s="53">
        <f>1588.63+9383.76</f>
        <v>10972.39</v>
      </c>
      <c r="D9" s="54">
        <f>C9+июль!D9</f>
        <v>65336.479999999996</v>
      </c>
      <c r="E9" s="55">
        <f>7790+959.11</f>
        <v>8749.11</v>
      </c>
      <c r="F9" s="54">
        <f>E9+июль!F9</f>
        <v>68241.259999999995</v>
      </c>
      <c r="G9" s="54">
        <f t="shared" si="0"/>
        <v>-2223.2799999999988</v>
      </c>
      <c r="H9" s="56">
        <f t="shared" si="0"/>
        <v>2904.7799999999988</v>
      </c>
      <c r="I9" s="55"/>
      <c r="J9" s="56">
        <f>I9+июль!J9</f>
        <v>0</v>
      </c>
      <c r="K9" s="53"/>
      <c r="L9" s="54">
        <f>K9+июль!L9</f>
        <v>0</v>
      </c>
    </row>
    <row r="10" spans="1:13" s="57" customFormat="1">
      <c r="A10" s="51">
        <f t="shared" si="1"/>
        <v>8</v>
      </c>
      <c r="B10" s="52" t="str">
        <f>июль!B10</f>
        <v>Электроснабжение(инд.потр)</v>
      </c>
      <c r="C10" s="53">
        <f>82674.66+15976.44</f>
        <v>98651.1</v>
      </c>
      <c r="D10" s="54">
        <f>C10+июль!D10</f>
        <v>616298.84</v>
      </c>
      <c r="E10" s="55">
        <f>9529.83+69968.26</f>
        <v>79498.09</v>
      </c>
      <c r="F10" s="54">
        <f>E10+июль!F10</f>
        <v>646110.64999999991</v>
      </c>
      <c r="G10" s="54">
        <f t="shared" si="0"/>
        <v>-19153.010000000009</v>
      </c>
      <c r="H10" s="56">
        <f t="shared" si="0"/>
        <v>29811.809999999939</v>
      </c>
      <c r="I10" s="55"/>
      <c r="J10" s="56">
        <f>I10+июль!J10</f>
        <v>0</v>
      </c>
      <c r="K10" s="53"/>
      <c r="L10" s="54">
        <f>K10+июль!L10</f>
        <v>0</v>
      </c>
    </row>
    <row r="11" spans="1:13" s="57" customFormat="1">
      <c r="A11" s="51">
        <f t="shared" si="1"/>
        <v>9</v>
      </c>
      <c r="B11" s="52" t="str">
        <f>июль!B11</f>
        <v>Холодная вода</v>
      </c>
      <c r="C11" s="53">
        <f>46132.04+9783.01</f>
        <v>55915.05</v>
      </c>
      <c r="D11" s="54">
        <f>C11+июль!D11</f>
        <v>352435.91</v>
      </c>
      <c r="E11" s="55">
        <f>5937.55+40118.79</f>
        <v>46056.340000000004</v>
      </c>
      <c r="F11" s="54">
        <f>E11+июль!F11</f>
        <v>362781.05</v>
      </c>
      <c r="G11" s="54">
        <f t="shared" si="0"/>
        <v>-9858.7099999999991</v>
      </c>
      <c r="H11" s="56">
        <f t="shared" si="0"/>
        <v>10345.140000000014</v>
      </c>
      <c r="I11" s="55"/>
      <c r="J11" s="56">
        <f>I11+июль!J11</f>
        <v>0</v>
      </c>
      <c r="K11" s="53"/>
      <c r="L11" s="54">
        <f>K11+июль!L11</f>
        <v>0</v>
      </c>
    </row>
    <row r="12" spans="1:13" s="57" customFormat="1">
      <c r="A12" s="51">
        <f t="shared" si="1"/>
        <v>10</v>
      </c>
      <c r="B12" s="69" t="str">
        <f>июль!B12</f>
        <v>Канализирование х.воды</v>
      </c>
      <c r="C12" s="53">
        <f>0+0</f>
        <v>0</v>
      </c>
      <c r="D12" s="54">
        <f>C12+июль!D12</f>
        <v>0</v>
      </c>
      <c r="E12" s="55">
        <f>0+0</f>
        <v>0</v>
      </c>
      <c r="F12" s="54">
        <f>E12+июль!F12</f>
        <v>0</v>
      </c>
      <c r="G12" s="54">
        <f t="shared" si="0"/>
        <v>0</v>
      </c>
      <c r="H12" s="56">
        <f t="shared" si="0"/>
        <v>0</v>
      </c>
      <c r="I12" s="55"/>
      <c r="J12" s="56">
        <f>I12+июль!J12</f>
        <v>0</v>
      </c>
      <c r="K12" s="53"/>
      <c r="L12" s="54">
        <f>K12+июль!L12</f>
        <v>0</v>
      </c>
    </row>
    <row r="13" spans="1:13" s="57" customFormat="1">
      <c r="A13" s="51">
        <f t="shared" si="1"/>
        <v>11</v>
      </c>
      <c r="B13" s="52" t="str">
        <f>июль!B13</f>
        <v>Канализирование г.воды</v>
      </c>
      <c r="C13" s="53">
        <f>0+0</f>
        <v>0</v>
      </c>
      <c r="D13" s="54">
        <f>C13+июль!D13</f>
        <v>0</v>
      </c>
      <c r="E13" s="55">
        <f>0+0</f>
        <v>0</v>
      </c>
      <c r="F13" s="54">
        <f>E13+июль!F13</f>
        <v>0</v>
      </c>
      <c r="G13" s="54">
        <f t="shared" si="0"/>
        <v>0</v>
      </c>
      <c r="H13" s="56">
        <f t="shared" si="0"/>
        <v>0</v>
      </c>
      <c r="I13" s="55"/>
      <c r="J13" s="56">
        <f>I13+июль!J13</f>
        <v>0</v>
      </c>
      <c r="K13" s="53"/>
      <c r="L13" s="54">
        <f>K13+июль!L13</f>
        <v>0</v>
      </c>
    </row>
    <row r="14" spans="1:13" s="57" customFormat="1">
      <c r="A14" s="51">
        <f t="shared" si="1"/>
        <v>12</v>
      </c>
      <c r="B14" s="52" t="str">
        <f>июль!B14</f>
        <v>Тек.ремонт общ.имущ.дома</v>
      </c>
      <c r="C14" s="53">
        <f>31843.03+5390.83</f>
        <v>37233.86</v>
      </c>
      <c r="D14" s="54">
        <f>C14+июль!D14</f>
        <v>241054.65999999997</v>
      </c>
      <c r="E14" s="55">
        <f>3422.31+26954.62</f>
        <v>30376.93</v>
      </c>
      <c r="F14" s="54">
        <f>E14+июль!F14</f>
        <v>262841</v>
      </c>
      <c r="G14" s="54">
        <f t="shared" si="0"/>
        <v>-6856.93</v>
      </c>
      <c r="H14" s="56">
        <f t="shared" si="0"/>
        <v>21786.340000000026</v>
      </c>
      <c r="I14" s="55"/>
      <c r="J14" s="56">
        <f>I14+июль!J14</f>
        <v>0</v>
      </c>
      <c r="K14" s="53"/>
      <c r="L14" s="54">
        <f>K14+июль!L14</f>
        <v>0</v>
      </c>
    </row>
    <row r="15" spans="1:13" s="57" customFormat="1">
      <c r="A15" s="51">
        <f t="shared" si="1"/>
        <v>13</v>
      </c>
      <c r="B15" s="52" t="str">
        <f>июль!B15</f>
        <v>Управление многокварт.домом</v>
      </c>
      <c r="C15" s="53">
        <f>13178.2+2231.01</f>
        <v>15409.210000000001</v>
      </c>
      <c r="D15" s="54">
        <f>C15+июль!D15</f>
        <v>96304.37000000001</v>
      </c>
      <c r="E15" s="55">
        <f>1385.12+11030.36</f>
        <v>12415.48</v>
      </c>
      <c r="F15" s="54">
        <f>E15+июль!F15</f>
        <v>98072.549999999988</v>
      </c>
      <c r="G15" s="54">
        <f t="shared" si="0"/>
        <v>-2993.7300000000014</v>
      </c>
      <c r="H15" s="56">
        <f t="shared" si="0"/>
        <v>1768.1799999999785</v>
      </c>
      <c r="I15" s="55"/>
      <c r="J15" s="56">
        <f>I15+июль!J15</f>
        <v>0</v>
      </c>
      <c r="K15" s="53"/>
      <c r="L15" s="54">
        <f>K15+июль!L15</f>
        <v>0</v>
      </c>
    </row>
    <row r="16" spans="1:13" s="57" customFormat="1">
      <c r="A16" s="51">
        <f t="shared" si="1"/>
        <v>14</v>
      </c>
      <c r="B16" s="52" t="str">
        <f>июль!B16</f>
        <v>Водоотведение (кв)</v>
      </c>
      <c r="C16" s="53">
        <f>78597.16+16601.46</f>
        <v>95198.62</v>
      </c>
      <c r="D16" s="54">
        <f>C16+июль!D16</f>
        <v>603252.73</v>
      </c>
      <c r="E16" s="55">
        <f>10157.35+68411.64</f>
        <v>78568.990000000005</v>
      </c>
      <c r="F16" s="54">
        <f>E16+июль!F16</f>
        <v>625930.26</v>
      </c>
      <c r="G16" s="54">
        <f t="shared" si="0"/>
        <v>-16629.62999999999</v>
      </c>
      <c r="H16" s="56">
        <f t="shared" si="0"/>
        <v>22677.530000000028</v>
      </c>
      <c r="I16" s="55"/>
      <c r="J16" s="56">
        <f>I16+июль!J16</f>
        <v>0</v>
      </c>
      <c r="K16" s="53"/>
      <c r="L16" s="54">
        <f>K16+июль!L16</f>
        <v>0</v>
      </c>
    </row>
    <row r="17" spans="1:12" s="57" customFormat="1">
      <c r="A17" s="51">
        <f t="shared" si="1"/>
        <v>15</v>
      </c>
      <c r="B17" s="52" t="str">
        <f>июль!B17</f>
        <v>Эксплуатация общедомовых ПУ</v>
      </c>
      <c r="C17" s="53">
        <f>3384.31+572.94</f>
        <v>3957.25</v>
      </c>
      <c r="D17" s="54">
        <f>C17+июль!D17</f>
        <v>25615.63</v>
      </c>
      <c r="E17" s="55">
        <f>363.53+2855.9</f>
        <v>3219.4300000000003</v>
      </c>
      <c r="F17" s="54">
        <f>E17+июль!F17</f>
        <v>28102.11</v>
      </c>
      <c r="G17" s="54">
        <f t="shared" si="0"/>
        <v>-737.81999999999971</v>
      </c>
      <c r="H17" s="56">
        <f t="shared" si="0"/>
        <v>2486.4799999999996</v>
      </c>
      <c r="I17" s="55"/>
      <c r="J17" s="56">
        <f>I17+июль!J17</f>
        <v>0</v>
      </c>
      <c r="K17" s="53"/>
      <c r="L17" s="54">
        <f>K17+июль!L17</f>
        <v>0</v>
      </c>
    </row>
    <row r="18" spans="1:12" s="57" customFormat="1">
      <c r="A18" s="51">
        <f t="shared" si="1"/>
        <v>16</v>
      </c>
      <c r="B18" s="52" t="str">
        <f>июль!B18</f>
        <v>Хол.водоснабжение(о/д нужды)</v>
      </c>
      <c r="C18" s="53">
        <f>1522.74+257.31</f>
        <v>1780.05</v>
      </c>
      <c r="D18" s="54">
        <f>C18+июль!D18</f>
        <v>13589.45</v>
      </c>
      <c r="E18" s="55">
        <f>183.66+1369.33</f>
        <v>1552.99</v>
      </c>
      <c r="F18" s="54">
        <f>E18+июль!F18</f>
        <v>16488.52</v>
      </c>
      <c r="G18" s="54">
        <f t="shared" si="0"/>
        <v>-227.05999999999995</v>
      </c>
      <c r="H18" s="56">
        <f t="shared" si="0"/>
        <v>2899.0699999999997</v>
      </c>
      <c r="I18" s="55"/>
      <c r="J18" s="56">
        <f>I18+июль!J18</f>
        <v>0</v>
      </c>
      <c r="K18" s="53"/>
      <c r="L18" s="54">
        <f>K18+июль!L18</f>
        <v>0</v>
      </c>
    </row>
    <row r="19" spans="1:12" s="57" customFormat="1">
      <c r="A19" s="51">
        <f t="shared" si="1"/>
        <v>17</v>
      </c>
      <c r="B19" s="52" t="str">
        <f>июль!B19</f>
        <v>Водоотведение(о/д нужды)</v>
      </c>
      <c r="C19" s="53">
        <f>0+0</f>
        <v>0</v>
      </c>
      <c r="D19" s="54">
        <f>C19+июль!D19</f>
        <v>0</v>
      </c>
      <c r="E19" s="55">
        <f>0+0</f>
        <v>0</v>
      </c>
      <c r="F19" s="54">
        <f>E19+июль!F19</f>
        <v>226.65</v>
      </c>
      <c r="G19" s="54">
        <f t="shared" si="0"/>
        <v>0</v>
      </c>
      <c r="H19" s="56">
        <f t="shared" si="0"/>
        <v>226.65</v>
      </c>
      <c r="I19" s="55"/>
      <c r="J19" s="56">
        <f>I19+июль!J19</f>
        <v>0</v>
      </c>
      <c r="K19" s="53"/>
      <c r="L19" s="54">
        <f>K19+июль!L19</f>
        <v>0</v>
      </c>
    </row>
    <row r="20" spans="1:12" s="57" customFormat="1">
      <c r="A20" s="51">
        <f t="shared" si="1"/>
        <v>18</v>
      </c>
      <c r="B20" s="52" t="str">
        <f>июль!B20</f>
        <v>Отопление (о/д нужды)</v>
      </c>
      <c r="C20" s="53">
        <f>0+0</f>
        <v>0</v>
      </c>
      <c r="D20" s="54">
        <f>C20+июль!D20</f>
        <v>0</v>
      </c>
      <c r="E20" s="55">
        <f>0+0</f>
        <v>0</v>
      </c>
      <c r="F20" s="54">
        <f>E20+июль!F20</f>
        <v>1286.5400000000002</v>
      </c>
      <c r="G20" s="54">
        <f t="shared" si="0"/>
        <v>0</v>
      </c>
      <c r="H20" s="56">
        <f t="shared" si="0"/>
        <v>1286.5400000000002</v>
      </c>
      <c r="I20" s="55"/>
      <c r="J20" s="56">
        <f>I20+июль!J20</f>
        <v>0</v>
      </c>
      <c r="K20" s="53"/>
      <c r="L20" s="54">
        <f>K20+июль!L20</f>
        <v>0</v>
      </c>
    </row>
    <row r="21" spans="1:12" s="57" customFormat="1">
      <c r="A21" s="51">
        <f t="shared" si="1"/>
        <v>19</v>
      </c>
      <c r="B21" s="52" t="str">
        <f>июль!B21</f>
        <v>Электроснабжение(оющед.нужд)</v>
      </c>
      <c r="C21" s="53">
        <f>69166.79+4938.16</f>
        <v>74104.95</v>
      </c>
      <c r="D21" s="54">
        <f>C21+июль!D21</f>
        <v>284380.31000000006</v>
      </c>
      <c r="E21" s="55">
        <f>2974.84+29335.97</f>
        <v>32310.81</v>
      </c>
      <c r="F21" s="54">
        <f>E21+июль!F21</f>
        <v>293179.17</v>
      </c>
      <c r="G21" s="54">
        <f t="shared" si="0"/>
        <v>-41794.14</v>
      </c>
      <c r="H21" s="56">
        <f t="shared" si="0"/>
        <v>8798.8599999999278</v>
      </c>
      <c r="I21" s="55"/>
      <c r="J21" s="56">
        <f>I21+июль!J21</f>
        <v>0</v>
      </c>
      <c r="K21" s="53"/>
      <c r="L21" s="54">
        <f>K21+июль!L21</f>
        <v>0</v>
      </c>
    </row>
    <row r="22" spans="1:12" s="57" customFormat="1" ht="16.5" customHeight="1">
      <c r="A22" s="51">
        <f t="shared" si="1"/>
        <v>20</v>
      </c>
      <c r="B22" s="52" t="str">
        <f>июль!B22</f>
        <v>Горячее водоснабжение(о/д нужды)</v>
      </c>
      <c r="C22" s="53">
        <f>569.08+3381.25</f>
        <v>3950.33</v>
      </c>
      <c r="D22" s="54">
        <f>C22+июль!D22</f>
        <v>31447.050000000003</v>
      </c>
      <c r="E22" s="55">
        <f>2945.49+392.4</f>
        <v>3337.89</v>
      </c>
      <c r="F22" s="54">
        <f>E22+июль!F22</f>
        <v>30130.1</v>
      </c>
      <c r="G22" s="54">
        <f t="shared" si="0"/>
        <v>-612.44000000000005</v>
      </c>
      <c r="H22" s="56">
        <f t="shared" si="0"/>
        <v>-1316.9500000000044</v>
      </c>
      <c r="I22" s="55"/>
      <c r="J22" s="56">
        <f>I22+июль!J22</f>
        <v>0</v>
      </c>
      <c r="K22" s="53"/>
      <c r="L22" s="54">
        <f>K22+июль!L22</f>
        <v>0</v>
      </c>
    </row>
    <row r="23" spans="1:12" s="57" customFormat="1">
      <c r="A23" s="59"/>
      <c r="B23" s="60" t="s">
        <v>12</v>
      </c>
      <c r="C23" s="67">
        <f t="shared" ref="C23:L23" si="2">SUM(C3:C22)</f>
        <v>634051.46</v>
      </c>
      <c r="D23" s="54">
        <f t="shared" si="2"/>
        <v>4716403.9300000006</v>
      </c>
      <c r="E23" s="68">
        <f t="shared" si="2"/>
        <v>516830.91999999993</v>
      </c>
      <c r="F23" s="54">
        <f t="shared" si="2"/>
        <v>5268865.4699999988</v>
      </c>
      <c r="G23" s="54">
        <f t="shared" si="2"/>
        <v>-117220.54</v>
      </c>
      <c r="H23" s="56">
        <f t="shared" si="2"/>
        <v>552461.5399999998</v>
      </c>
      <c r="I23" s="56">
        <f t="shared" si="2"/>
        <v>0</v>
      </c>
      <c r="J23" s="56">
        <f t="shared" si="2"/>
        <v>0</v>
      </c>
      <c r="K23" s="54">
        <f t="shared" si="2"/>
        <v>0</v>
      </c>
      <c r="L23" s="54">
        <f t="shared" si="2"/>
        <v>0</v>
      </c>
    </row>
    <row r="24" spans="1:12" s="57" customFormat="1" ht="8.25" customHeight="1"/>
    <row r="25" spans="1:12" s="57" customFormat="1" hidden="1"/>
    <row r="26" spans="1:12" s="57" customFormat="1" hidden="1">
      <c r="C26" s="61"/>
    </row>
    <row r="27" spans="1:12" s="57" customFormat="1" hidden="1"/>
    <row r="28" spans="1:12" s="57" customFormat="1">
      <c r="B28" s="51" t="s">
        <v>38</v>
      </c>
      <c r="C28" s="55">
        <f>C11+C12+C13+C16+C18+C19</f>
        <v>152893.71999999997</v>
      </c>
      <c r="D28" s="55">
        <f t="shared" ref="D28:J28" si="3">D11+D12+D13+D16+D18+D19</f>
        <v>969278.08999999985</v>
      </c>
      <c r="E28" s="55">
        <f t="shared" si="3"/>
        <v>126178.32000000002</v>
      </c>
      <c r="F28" s="55">
        <f t="shared" si="3"/>
        <v>1005426.4800000001</v>
      </c>
      <c r="G28" s="55">
        <f t="shared" si="3"/>
        <v>-26715.399999999991</v>
      </c>
      <c r="H28" s="55">
        <f t="shared" si="3"/>
        <v>36148.390000000043</v>
      </c>
      <c r="I28" s="55">
        <f t="shared" si="3"/>
        <v>0</v>
      </c>
      <c r="J28" s="55">
        <f t="shared" si="3"/>
        <v>0</v>
      </c>
    </row>
    <row r="29" spans="1:12" s="57" customFormat="1">
      <c r="B29" s="51" t="s">
        <v>39</v>
      </c>
      <c r="C29" s="55">
        <f>C10+C21</f>
        <v>172756.05</v>
      </c>
      <c r="D29" s="55">
        <f t="shared" ref="D29:J29" si="4">D10+D21</f>
        <v>900679.15</v>
      </c>
      <c r="E29" s="55">
        <f t="shared" si="4"/>
        <v>111808.9</v>
      </c>
      <c r="F29" s="55">
        <f t="shared" si="4"/>
        <v>939289.81999999983</v>
      </c>
      <c r="G29" s="55">
        <f t="shared" si="4"/>
        <v>-60947.150000000009</v>
      </c>
      <c r="H29" s="55">
        <f t="shared" si="4"/>
        <v>38610.669999999867</v>
      </c>
      <c r="I29" s="55">
        <f t="shared" si="4"/>
        <v>0</v>
      </c>
      <c r="J29" s="55">
        <f t="shared" si="4"/>
        <v>0</v>
      </c>
    </row>
    <row r="30" spans="1:12" s="57" customFormat="1">
      <c r="B30" s="51" t="s">
        <v>40</v>
      </c>
      <c r="C30" s="55">
        <f>C4+C5+C20+C22</f>
        <v>145276.53</v>
      </c>
      <c r="D30" s="55">
        <f t="shared" ref="D30:J30" si="5">D4+D5+D20+D22</f>
        <v>1794743.9200000002</v>
      </c>
      <c r="E30" s="55">
        <f t="shared" si="5"/>
        <v>146048.97000000003</v>
      </c>
      <c r="F30" s="55">
        <f t="shared" si="5"/>
        <v>2179486.23</v>
      </c>
      <c r="G30" s="55">
        <f t="shared" si="5"/>
        <v>772.43999999999005</v>
      </c>
      <c r="H30" s="55">
        <f t="shared" si="5"/>
        <v>384742.30999999971</v>
      </c>
      <c r="I30" s="55">
        <f t="shared" si="5"/>
        <v>0</v>
      </c>
      <c r="J30" s="55">
        <f t="shared" si="5"/>
        <v>0</v>
      </c>
    </row>
    <row r="34" spans="8:9">
      <c r="H34">
        <v>537743.78</v>
      </c>
      <c r="I34">
        <v>453221.15</v>
      </c>
    </row>
    <row r="35" spans="8:9">
      <c r="H35">
        <v>96307.68</v>
      </c>
      <c r="I35">
        <v>63609.77</v>
      </c>
    </row>
    <row r="36" spans="8:9">
      <c r="H36" s="11">
        <f>H34+H35</f>
        <v>634051.46</v>
      </c>
      <c r="I36" s="11">
        <f>I34+I35</f>
        <v>516830.92000000004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H42" sqref="H42"/>
    </sheetView>
  </sheetViews>
  <sheetFormatPr defaultRowHeight="12.75"/>
  <cols>
    <col min="1" max="1" width="4.140625" customWidth="1"/>
    <col min="2" max="2" width="33.7109375" style="36" customWidth="1"/>
    <col min="3" max="3" width="10.140625" bestFit="1" customWidth="1"/>
    <col min="4" max="4" width="11.42578125" customWidth="1"/>
    <col min="5" max="5" width="11.140625" customWidth="1"/>
    <col min="6" max="6" width="11.28515625" customWidth="1"/>
    <col min="7" max="7" width="10.5703125" customWidth="1"/>
    <col min="8" max="8" width="11.5703125" customWidth="1"/>
    <col min="9" max="9" width="10.28515625" customWidth="1"/>
    <col min="10" max="10" width="12.85546875" customWidth="1"/>
    <col min="11" max="11" width="10.140625" bestFit="1" customWidth="1"/>
    <col min="12" max="12" width="12.140625" customWidth="1"/>
    <col min="13" max="13" width="9.7109375" bestFit="1" customWidth="1"/>
  </cols>
  <sheetData>
    <row r="1" spans="1:13">
      <c r="B1" s="39"/>
      <c r="C1" s="11" t="s">
        <v>41</v>
      </c>
      <c r="D1" s="11"/>
      <c r="E1" s="11"/>
    </row>
    <row r="2" spans="1:13" s="32" customFormat="1" ht="38.25">
      <c r="A2" s="31" t="s">
        <v>0</v>
      </c>
      <c r="B2" s="37" t="s">
        <v>1</v>
      </c>
      <c r="C2" s="27" t="s">
        <v>2</v>
      </c>
      <c r="D2" s="28" t="s">
        <v>3</v>
      </c>
      <c r="E2" s="29" t="s">
        <v>4</v>
      </c>
      <c r="F2" s="28" t="s">
        <v>5</v>
      </c>
      <c r="G2" s="28" t="s">
        <v>6</v>
      </c>
      <c r="H2" s="30" t="s">
        <v>7</v>
      </c>
      <c r="I2" s="29" t="s">
        <v>8</v>
      </c>
      <c r="J2" s="30" t="s">
        <v>9</v>
      </c>
      <c r="K2" s="26" t="s">
        <v>10</v>
      </c>
      <c r="L2" s="28" t="s">
        <v>11</v>
      </c>
    </row>
    <row r="3" spans="1:13">
      <c r="A3" s="1">
        <v>1</v>
      </c>
      <c r="B3" s="34" t="str">
        <f>август!B3</f>
        <v>Содержание общ.имущ.дома</v>
      </c>
      <c r="C3" s="8">
        <f>60855.92+10330.29</f>
        <v>71186.209999999992</v>
      </c>
      <c r="D3" s="18">
        <f>C3+август!D3</f>
        <v>528990.23999999987</v>
      </c>
      <c r="E3" s="9">
        <f>52058.43+8703.77</f>
        <v>60762.2</v>
      </c>
      <c r="F3" s="18">
        <f>E3+август!F3</f>
        <v>544396.38</v>
      </c>
      <c r="G3" s="18">
        <f>E3-C3</f>
        <v>-10424.009999999995</v>
      </c>
      <c r="H3" s="20">
        <f>F3-D3</f>
        <v>15406.14000000013</v>
      </c>
      <c r="I3" s="9"/>
      <c r="J3" s="20">
        <f>I3+август!J3</f>
        <v>0</v>
      </c>
      <c r="K3" s="8"/>
      <c r="L3" s="18">
        <f>K3+август!L3</f>
        <v>0</v>
      </c>
    </row>
    <row r="4" spans="1:13">
      <c r="A4" s="1">
        <f>A3+1</f>
        <v>2</v>
      </c>
      <c r="B4" s="34" t="str">
        <f>август!B4</f>
        <v>Отопление</v>
      </c>
      <c r="C4" s="8">
        <f>0+0</f>
        <v>0</v>
      </c>
      <c r="D4" s="18">
        <f>C4+август!D4</f>
        <v>820609.08</v>
      </c>
      <c r="E4" s="9">
        <f>18140.73+3703.73</f>
        <v>21844.46</v>
      </c>
      <c r="F4" s="18">
        <f>E4+август!F4</f>
        <v>1216623.9099999997</v>
      </c>
      <c r="G4" s="18">
        <f t="shared" ref="G4:H22" si="0">E4-C4</f>
        <v>21844.46</v>
      </c>
      <c r="H4" s="20">
        <f t="shared" si="0"/>
        <v>396014.82999999973</v>
      </c>
      <c r="I4" s="9"/>
      <c r="J4" s="20">
        <f>I4+август!J4</f>
        <v>0</v>
      </c>
      <c r="K4" s="8"/>
      <c r="L4" s="18">
        <f>K4+август!L4</f>
        <v>0</v>
      </c>
      <c r="M4" s="25">
        <f>L4-J4</f>
        <v>0</v>
      </c>
    </row>
    <row r="5" spans="1:13">
      <c r="A5" s="1">
        <f t="shared" ref="A5:A22" si="1">A4+1</f>
        <v>3</v>
      </c>
      <c r="B5" s="34" t="str">
        <f>август!B5</f>
        <v>Горячее водоснабжение</v>
      </c>
      <c r="C5" s="8">
        <f>122230.26+23834.45</f>
        <v>146064.71</v>
      </c>
      <c r="D5" s="18">
        <f>C5+август!D5</f>
        <v>1088752.5</v>
      </c>
      <c r="E5" s="9">
        <f>99898.31+19928.48</f>
        <v>119826.79</v>
      </c>
      <c r="F5" s="18">
        <f>E5+август!F5</f>
        <v>1073116.93</v>
      </c>
      <c r="G5" s="18">
        <f t="shared" si="0"/>
        <v>-26237.919999999998</v>
      </c>
      <c r="H5" s="20">
        <f t="shared" si="0"/>
        <v>-15635.570000000065</v>
      </c>
      <c r="I5" s="9"/>
      <c r="J5" s="20">
        <f>I5+август!J5</f>
        <v>0</v>
      </c>
      <c r="K5" s="8"/>
      <c r="L5" s="18">
        <f>K5+август!L5</f>
        <v>0</v>
      </c>
    </row>
    <row r="6" spans="1:13">
      <c r="A6" s="1">
        <f t="shared" si="1"/>
        <v>4</v>
      </c>
      <c r="B6" s="34" t="str">
        <f>август!B6</f>
        <v>Сод.и ремонт АППЗ</v>
      </c>
      <c r="C6" s="8">
        <f>2256.21+381.92</f>
        <v>2638.13</v>
      </c>
      <c r="D6" s="18">
        <f>C6+август!D6</f>
        <v>20471.64</v>
      </c>
      <c r="E6" s="9">
        <f>1940.3+335.42</f>
        <v>2275.7199999999998</v>
      </c>
      <c r="F6" s="18">
        <f>E6+август!F6</f>
        <v>21516.570000000003</v>
      </c>
      <c r="G6" s="18">
        <f t="shared" si="0"/>
        <v>-362.41000000000031</v>
      </c>
      <c r="H6" s="20">
        <f t="shared" si="0"/>
        <v>1044.9300000000039</v>
      </c>
      <c r="I6" s="9"/>
      <c r="J6" s="20">
        <f>I6+август!J6</f>
        <v>0</v>
      </c>
      <c r="K6" s="8"/>
      <c r="L6" s="18">
        <f>K6+август!L6</f>
        <v>0</v>
      </c>
    </row>
    <row r="7" spans="1:13">
      <c r="A7" s="1">
        <f t="shared" si="1"/>
        <v>5</v>
      </c>
      <c r="B7" s="34" t="str">
        <f>август!B7</f>
        <v>Сод.и ремонт лифтов</v>
      </c>
      <c r="C7" s="8">
        <f>11332.23+1918.47</f>
        <v>13250.699999999999</v>
      </c>
      <c r="D7" s="18">
        <f>C7+август!D7</f>
        <v>105366.01</v>
      </c>
      <c r="E7" s="9">
        <f>9769.93+1902.84</f>
        <v>11672.77</v>
      </c>
      <c r="F7" s="18">
        <f>E7+август!F7</f>
        <v>136923.01999999999</v>
      </c>
      <c r="G7" s="18">
        <f t="shared" si="0"/>
        <v>-1577.9299999999985</v>
      </c>
      <c r="H7" s="20">
        <f t="shared" si="0"/>
        <v>31557.009999999995</v>
      </c>
      <c r="I7" s="9"/>
      <c r="J7" s="20">
        <f>I7+август!J7</f>
        <v>0</v>
      </c>
      <c r="K7" s="8"/>
      <c r="L7" s="18">
        <f>K7+август!L7</f>
        <v>0</v>
      </c>
    </row>
    <row r="8" spans="1:13">
      <c r="A8" s="1">
        <f t="shared" si="1"/>
        <v>6</v>
      </c>
      <c r="B8" s="34" t="str">
        <f>август!B8</f>
        <v>Очистка мусоропроводов</v>
      </c>
      <c r="C8" s="8">
        <f>7244.75+1232.66</f>
        <v>8477.41</v>
      </c>
      <c r="D8" s="18">
        <f>C8+август!D8</f>
        <v>64116.19</v>
      </c>
      <c r="E8" s="9">
        <f>6234.37+1042.45</f>
        <v>7276.82</v>
      </c>
      <c r="F8" s="18">
        <f>E8+август!F8</f>
        <v>66557.56</v>
      </c>
      <c r="G8" s="18">
        <f t="shared" si="0"/>
        <v>-1200.5900000000001</v>
      </c>
      <c r="H8" s="20">
        <f t="shared" si="0"/>
        <v>2441.3699999999953</v>
      </c>
      <c r="I8" s="9"/>
      <c r="J8" s="20">
        <f>I8+август!J8</f>
        <v>0</v>
      </c>
      <c r="K8" s="8"/>
      <c r="L8" s="18">
        <f>K8+август!L8</f>
        <v>0</v>
      </c>
    </row>
    <row r="9" spans="1:13">
      <c r="A9" s="1">
        <f t="shared" si="1"/>
        <v>7</v>
      </c>
      <c r="B9" s="34" t="str">
        <f>август!B9</f>
        <v>Уборка и сан.очистка зем.уч.</v>
      </c>
      <c r="C9" s="8">
        <f>9383.76+1588.63</f>
        <v>10972.39</v>
      </c>
      <c r="D9" s="18">
        <f>C9+август!D9</f>
        <v>76308.87</v>
      </c>
      <c r="E9" s="9">
        <f>7929.66+1308.18</f>
        <v>9237.84</v>
      </c>
      <c r="F9" s="18">
        <f>E9+август!F9</f>
        <v>77479.099999999991</v>
      </c>
      <c r="G9" s="18">
        <f t="shared" si="0"/>
        <v>-1734.5499999999993</v>
      </c>
      <c r="H9" s="20">
        <f t="shared" si="0"/>
        <v>1170.2299999999959</v>
      </c>
      <c r="I9" s="9"/>
      <c r="J9" s="20">
        <f>I9+август!J9</f>
        <v>0</v>
      </c>
      <c r="K9" s="8"/>
      <c r="L9" s="18">
        <f>K9+август!L9</f>
        <v>0</v>
      </c>
    </row>
    <row r="10" spans="1:13">
      <c r="A10" s="1">
        <f t="shared" si="1"/>
        <v>8</v>
      </c>
      <c r="B10" s="34" t="str">
        <f>август!B10</f>
        <v>Электроснабжение(инд.потр)</v>
      </c>
      <c r="C10" s="8">
        <f>82431+15976.44</f>
        <v>98407.44</v>
      </c>
      <c r="D10" s="18">
        <f>C10+август!D10</f>
        <v>714706.28</v>
      </c>
      <c r="E10" s="9">
        <f>71650.38+14130.18</f>
        <v>85780.56</v>
      </c>
      <c r="F10" s="18">
        <f>E10+август!F10</f>
        <v>731891.21</v>
      </c>
      <c r="G10" s="18">
        <f t="shared" si="0"/>
        <v>-12626.880000000005</v>
      </c>
      <c r="H10" s="20">
        <f t="shared" si="0"/>
        <v>17184.929999999935</v>
      </c>
      <c r="I10" s="9"/>
      <c r="J10" s="20">
        <f>I10+август!J10</f>
        <v>0</v>
      </c>
      <c r="K10" s="8"/>
      <c r="L10" s="18">
        <f>K10+август!L10</f>
        <v>0</v>
      </c>
    </row>
    <row r="11" spans="1:13">
      <c r="A11" s="1">
        <f t="shared" si="1"/>
        <v>9</v>
      </c>
      <c r="B11" s="34" t="str">
        <f>август!B11</f>
        <v>Холодная вода</v>
      </c>
      <c r="C11" s="8">
        <f>47863.6+9143.71</f>
        <v>57007.31</v>
      </c>
      <c r="D11" s="18">
        <f>C11+август!D11</f>
        <v>409443.22</v>
      </c>
      <c r="E11" s="9">
        <f>39358.41+8477.01</f>
        <v>47835.420000000006</v>
      </c>
      <c r="F11" s="18">
        <f>E11+август!F11</f>
        <v>410616.47</v>
      </c>
      <c r="G11" s="18">
        <f t="shared" si="0"/>
        <v>-9171.8899999999921</v>
      </c>
      <c r="H11" s="20">
        <f t="shared" si="0"/>
        <v>1173.25</v>
      </c>
      <c r="I11" s="9"/>
      <c r="J11" s="20">
        <f>I11+август!J11</f>
        <v>0</v>
      </c>
      <c r="K11" s="8"/>
      <c r="L11" s="18">
        <f>K11+август!L11</f>
        <v>0</v>
      </c>
    </row>
    <row r="12" spans="1:13">
      <c r="A12" s="1">
        <f t="shared" si="1"/>
        <v>10</v>
      </c>
      <c r="B12" s="34" t="str">
        <f>август!B12</f>
        <v>Канализирование х.воды</v>
      </c>
      <c r="C12" s="8">
        <f>0+0</f>
        <v>0</v>
      </c>
      <c r="D12" s="18">
        <f>C12+август!D12</f>
        <v>0</v>
      </c>
      <c r="E12" s="8">
        <f>0+0</f>
        <v>0</v>
      </c>
      <c r="F12" s="18">
        <f>E12+август!F12</f>
        <v>0</v>
      </c>
      <c r="G12" s="18">
        <f t="shared" si="0"/>
        <v>0</v>
      </c>
      <c r="H12" s="20">
        <f t="shared" si="0"/>
        <v>0</v>
      </c>
      <c r="I12" s="9"/>
      <c r="J12" s="20">
        <f>I12+август!J12</f>
        <v>0</v>
      </c>
      <c r="K12" s="8"/>
      <c r="L12" s="18">
        <f>K12+август!L12</f>
        <v>0</v>
      </c>
    </row>
    <row r="13" spans="1:13">
      <c r="A13" s="1">
        <f t="shared" si="1"/>
        <v>11</v>
      </c>
      <c r="B13" s="34" t="str">
        <f>август!B13</f>
        <v>Канализирование г.воды</v>
      </c>
      <c r="C13" s="8">
        <f>0+0</f>
        <v>0</v>
      </c>
      <c r="D13" s="18">
        <f>C13+август!D13</f>
        <v>0</v>
      </c>
      <c r="E13" s="8">
        <f>0+0</f>
        <v>0</v>
      </c>
      <c r="F13" s="18">
        <f>E13+август!F13</f>
        <v>0</v>
      </c>
      <c r="G13" s="18">
        <f t="shared" si="0"/>
        <v>0</v>
      </c>
      <c r="H13" s="20">
        <f t="shared" si="0"/>
        <v>0</v>
      </c>
      <c r="I13" s="9"/>
      <c r="J13" s="20">
        <f>I13+август!J13</f>
        <v>0</v>
      </c>
      <c r="K13" s="8"/>
      <c r="L13" s="18">
        <f>K13+август!L13</f>
        <v>0</v>
      </c>
    </row>
    <row r="14" spans="1:13">
      <c r="A14" s="1">
        <f t="shared" si="1"/>
        <v>12</v>
      </c>
      <c r="B14" s="34" t="str">
        <f>август!B14</f>
        <v>Тек.ремонт общ.имущ.дома</v>
      </c>
      <c r="C14" s="8">
        <f>31843.03+5390.83</f>
        <v>37233.86</v>
      </c>
      <c r="D14" s="18">
        <f>C14+август!D14</f>
        <v>278288.51999999996</v>
      </c>
      <c r="E14" s="9">
        <f>27395.28+4569.06</f>
        <v>31964.34</v>
      </c>
      <c r="F14" s="18">
        <f>E14+август!F14</f>
        <v>294805.34000000003</v>
      </c>
      <c r="G14" s="18">
        <f t="shared" si="0"/>
        <v>-5269.52</v>
      </c>
      <c r="H14" s="20">
        <f t="shared" si="0"/>
        <v>16516.820000000065</v>
      </c>
      <c r="I14" s="9"/>
      <c r="J14" s="20">
        <f>I14+август!J14</f>
        <v>0</v>
      </c>
      <c r="K14" s="8"/>
      <c r="L14" s="18">
        <f>K14+август!L14</f>
        <v>0</v>
      </c>
    </row>
    <row r="15" spans="1:13" ht="14.25" customHeight="1">
      <c r="A15" s="1">
        <f t="shared" si="1"/>
        <v>13</v>
      </c>
      <c r="B15" s="34" t="str">
        <f>август!B15</f>
        <v>Управление многокварт.домом</v>
      </c>
      <c r="C15" s="8">
        <f>13178.2+2231.01</f>
        <v>15409.210000000001</v>
      </c>
      <c r="D15" s="18">
        <f>C15+август!D15</f>
        <v>111713.58000000002</v>
      </c>
      <c r="E15" s="9">
        <f>11167.61+1674.93</f>
        <v>12842.54</v>
      </c>
      <c r="F15" s="18">
        <f>E15+август!F15</f>
        <v>110915.09</v>
      </c>
      <c r="G15" s="18">
        <f t="shared" si="0"/>
        <v>-2566.67</v>
      </c>
      <c r="H15" s="20">
        <f t="shared" si="0"/>
        <v>-798.49000000001979</v>
      </c>
      <c r="I15" s="9"/>
      <c r="J15" s="20">
        <f>I15+август!J15</f>
        <v>0</v>
      </c>
      <c r="K15" s="8"/>
      <c r="L15" s="18">
        <f>K15+август!L15</f>
        <v>0</v>
      </c>
    </row>
    <row r="16" spans="1:13">
      <c r="A16" s="1">
        <f t="shared" si="1"/>
        <v>14</v>
      </c>
      <c r="B16" s="34" t="str">
        <f>август!B16</f>
        <v>Водоотведение (кв)</v>
      </c>
      <c r="C16" s="8">
        <f>81797.23+15767.36</f>
        <v>97564.59</v>
      </c>
      <c r="D16" s="18">
        <f>C16+август!D16</f>
        <v>700817.32</v>
      </c>
      <c r="E16" s="9">
        <f>67137.46+15012.02</f>
        <v>82149.48000000001</v>
      </c>
      <c r="F16" s="18">
        <f>E16+август!F16</f>
        <v>708079.74</v>
      </c>
      <c r="G16" s="18">
        <f t="shared" si="0"/>
        <v>-15415.109999999986</v>
      </c>
      <c r="H16" s="20">
        <f t="shared" si="0"/>
        <v>7262.4200000000419</v>
      </c>
      <c r="I16" s="9"/>
      <c r="J16" s="20">
        <f>I16+август!J16</f>
        <v>0</v>
      </c>
      <c r="K16" s="8"/>
      <c r="L16" s="18">
        <f>K16+август!L16</f>
        <v>0</v>
      </c>
    </row>
    <row r="17" spans="1:12" ht="15.75" customHeight="1">
      <c r="A17" s="1">
        <f t="shared" si="1"/>
        <v>15</v>
      </c>
      <c r="B17" s="34" t="str">
        <f>август!B17</f>
        <v>Эксплуатация общедомовых ПУ</v>
      </c>
      <c r="C17" s="8">
        <f>3384.31+572.94</f>
        <v>3957.25</v>
      </c>
      <c r="D17" s="18">
        <f>C17+август!D17</f>
        <v>29572.880000000001</v>
      </c>
      <c r="E17" s="9">
        <f>2892.84+530.13</f>
        <v>3422.9700000000003</v>
      </c>
      <c r="F17" s="18">
        <f>E17+август!F17</f>
        <v>31525.08</v>
      </c>
      <c r="G17" s="18">
        <f t="shared" si="0"/>
        <v>-534.27999999999975</v>
      </c>
      <c r="H17" s="20">
        <f t="shared" si="0"/>
        <v>1952.2000000000007</v>
      </c>
      <c r="I17" s="9"/>
      <c r="J17" s="20">
        <f>I17+август!J17</f>
        <v>0</v>
      </c>
      <c r="K17" s="8"/>
      <c r="L17" s="18">
        <f>K17+август!L17</f>
        <v>0</v>
      </c>
    </row>
    <row r="18" spans="1:12" ht="12" customHeight="1">
      <c r="A18" s="1">
        <f t="shared" si="1"/>
        <v>16</v>
      </c>
      <c r="B18" s="34" t="str">
        <f>август!B18</f>
        <v>Хол.водоснабжение(о/д нужды)</v>
      </c>
      <c r="C18" s="8">
        <f>1522.74+257.31</f>
        <v>1780.05</v>
      </c>
      <c r="D18" s="18">
        <f>C18+август!D18</f>
        <v>15369.5</v>
      </c>
      <c r="E18" s="9">
        <f>1549.72+211.19</f>
        <v>1760.91</v>
      </c>
      <c r="F18" s="18">
        <f>E18+август!F18</f>
        <v>18249.43</v>
      </c>
      <c r="G18" s="18">
        <f t="shared" si="0"/>
        <v>-19.139999999999873</v>
      </c>
      <c r="H18" s="20">
        <f t="shared" si="0"/>
        <v>2879.9300000000003</v>
      </c>
      <c r="I18" s="9"/>
      <c r="J18" s="20">
        <f>I18+август!J18</f>
        <v>0</v>
      </c>
      <c r="K18" s="8"/>
      <c r="L18" s="18">
        <f>K18+август!L18</f>
        <v>0</v>
      </c>
    </row>
    <row r="19" spans="1:12">
      <c r="A19" s="1">
        <f t="shared" si="1"/>
        <v>17</v>
      </c>
      <c r="B19" s="34" t="str">
        <f>август!B19</f>
        <v>Водоотведение(о/д нужды)</v>
      </c>
      <c r="C19" s="8">
        <f>0+0</f>
        <v>0</v>
      </c>
      <c r="D19" s="18">
        <f>C19+август!D19</f>
        <v>0</v>
      </c>
      <c r="E19" s="8">
        <f>0+0</f>
        <v>0</v>
      </c>
      <c r="F19" s="18">
        <f>E19+август!F19</f>
        <v>226.65</v>
      </c>
      <c r="G19" s="18">
        <f t="shared" si="0"/>
        <v>0</v>
      </c>
      <c r="H19" s="20">
        <f t="shared" si="0"/>
        <v>226.65</v>
      </c>
      <c r="I19" s="9"/>
      <c r="J19" s="20">
        <f>I19+август!J19</f>
        <v>0</v>
      </c>
      <c r="K19" s="8"/>
      <c r="L19" s="18">
        <f>K19+август!L19</f>
        <v>0</v>
      </c>
    </row>
    <row r="20" spans="1:12">
      <c r="A20" s="1">
        <f t="shared" si="1"/>
        <v>18</v>
      </c>
      <c r="B20" s="34" t="str">
        <f>август!B20</f>
        <v>Отопление (о/д нужды)</v>
      </c>
      <c r="C20" s="8">
        <f>0+0</f>
        <v>0</v>
      </c>
      <c r="D20" s="18">
        <f>C20+август!D20</f>
        <v>0</v>
      </c>
      <c r="E20" s="8">
        <f>0+0</f>
        <v>0</v>
      </c>
      <c r="F20" s="18">
        <f>E20+август!F20</f>
        <v>1286.5400000000002</v>
      </c>
      <c r="G20" s="18">
        <f t="shared" si="0"/>
        <v>0</v>
      </c>
      <c r="H20" s="20">
        <f t="shared" si="0"/>
        <v>1286.5400000000002</v>
      </c>
      <c r="I20" s="9"/>
      <c r="J20" s="20">
        <f>I20+август!J20</f>
        <v>0</v>
      </c>
      <c r="K20" s="8"/>
      <c r="L20" s="18">
        <f>K20+август!L20</f>
        <v>0</v>
      </c>
    </row>
    <row r="21" spans="1:12" ht="15.75" customHeight="1">
      <c r="A21" s="1">
        <f t="shared" si="1"/>
        <v>19</v>
      </c>
      <c r="B21" s="34" t="str">
        <f>август!B21</f>
        <v>Электроснабжение(оющед.нужд)</v>
      </c>
      <c r="C21" s="8">
        <f>22142.74+10894.26</f>
        <v>33037</v>
      </c>
      <c r="D21" s="18">
        <f>C21+август!D21</f>
        <v>317417.31000000006</v>
      </c>
      <c r="E21" s="9">
        <f>37465.04+4482.09</f>
        <v>41947.130000000005</v>
      </c>
      <c r="F21" s="18">
        <f>E21+август!F21</f>
        <v>335126.3</v>
      </c>
      <c r="G21" s="18">
        <f t="shared" si="0"/>
        <v>8910.1300000000047</v>
      </c>
      <c r="H21" s="20">
        <f t="shared" si="0"/>
        <v>17708.989999999932</v>
      </c>
      <c r="I21" s="9"/>
      <c r="J21" s="20">
        <f>I21+август!J21</f>
        <v>0</v>
      </c>
      <c r="K21" s="8"/>
      <c r="L21" s="18">
        <f>K21+август!L21</f>
        <v>0</v>
      </c>
    </row>
    <row r="22" spans="1:12" ht="16.5" customHeight="1">
      <c r="A22" s="1">
        <f t="shared" si="1"/>
        <v>20</v>
      </c>
      <c r="B22" s="34" t="str">
        <f>август!B22</f>
        <v>Горячее водоснабжение(о/д нужды)</v>
      </c>
      <c r="C22" s="8">
        <f>3381.25+569.08</f>
        <v>3950.33</v>
      </c>
      <c r="D22" s="18">
        <f>C22+август!D22</f>
        <v>35397.380000000005</v>
      </c>
      <c r="E22" s="9">
        <f>3212.45+357.36</f>
        <v>3569.81</v>
      </c>
      <c r="F22" s="18">
        <f>E22+август!F22</f>
        <v>33699.909999999996</v>
      </c>
      <c r="G22" s="18">
        <f t="shared" si="0"/>
        <v>-380.52</v>
      </c>
      <c r="H22" s="20">
        <f t="shared" si="0"/>
        <v>-1697.4700000000084</v>
      </c>
      <c r="I22" s="9"/>
      <c r="J22" s="20">
        <f>I22+август!J22</f>
        <v>0</v>
      </c>
      <c r="K22" s="8"/>
      <c r="L22" s="18">
        <f>K22+август!L22</f>
        <v>0</v>
      </c>
    </row>
    <row r="23" spans="1:12">
      <c r="A23" s="22"/>
      <c r="B23" s="38" t="s">
        <v>12</v>
      </c>
      <c r="C23" s="18">
        <f t="shared" ref="C23:L23" si="2">SUM(C3:C22)</f>
        <v>600936.59</v>
      </c>
      <c r="D23" s="18">
        <f t="shared" si="2"/>
        <v>5317340.5199999986</v>
      </c>
      <c r="E23" s="20">
        <f t="shared" si="2"/>
        <v>544169.76</v>
      </c>
      <c r="F23" s="18">
        <f t="shared" si="2"/>
        <v>5813035.2299999995</v>
      </c>
      <c r="G23" s="18">
        <f t="shared" si="2"/>
        <v>-56766.829999999965</v>
      </c>
      <c r="H23" s="20">
        <f t="shared" si="2"/>
        <v>495694.70999999967</v>
      </c>
      <c r="I23" s="20">
        <f t="shared" si="2"/>
        <v>0</v>
      </c>
      <c r="J23" s="20">
        <f t="shared" si="2"/>
        <v>0</v>
      </c>
      <c r="K23" s="18">
        <f t="shared" si="2"/>
        <v>0</v>
      </c>
      <c r="L23" s="18">
        <f t="shared" si="2"/>
        <v>0</v>
      </c>
    </row>
    <row r="25" spans="1:12">
      <c r="B25" s="41" t="s">
        <v>36</v>
      </c>
      <c r="C25" s="9">
        <f t="shared" ref="C25:H25" si="3">C3+C6+C7+C8+C9+C14+C15+C17</f>
        <v>163125.16</v>
      </c>
      <c r="D25" s="9">
        <f t="shared" si="3"/>
        <v>1214827.9299999997</v>
      </c>
      <c r="E25" s="9">
        <f t="shared" si="3"/>
        <v>139455.20000000001</v>
      </c>
      <c r="F25" s="9">
        <f t="shared" si="3"/>
        <v>1284118.1400000001</v>
      </c>
      <c r="G25" s="9">
        <f t="shared" si="3"/>
        <v>-23669.959999999992</v>
      </c>
      <c r="H25" s="9">
        <f t="shared" si="3"/>
        <v>69290.210000000166</v>
      </c>
    </row>
    <row r="26" spans="1:12" ht="1.5" customHeight="1"/>
    <row r="27" spans="1:12" hidden="1"/>
    <row r="28" spans="1:12">
      <c r="B28" s="1" t="s">
        <v>38</v>
      </c>
      <c r="C28" s="9">
        <f>C11+C12+C13+C16+C18+C19</f>
        <v>156351.94999999998</v>
      </c>
      <c r="D28" s="9">
        <f t="shared" ref="D28:J28" si="4">D11+D12+D13+D16+D18+D19</f>
        <v>1125630.04</v>
      </c>
      <c r="E28" s="9">
        <f t="shared" si="4"/>
        <v>131745.81000000003</v>
      </c>
      <c r="F28" s="9">
        <f t="shared" si="4"/>
        <v>1137172.2899999998</v>
      </c>
      <c r="G28" s="9">
        <f t="shared" si="4"/>
        <v>-24606.139999999978</v>
      </c>
      <c r="H28" s="9">
        <f t="shared" si="4"/>
        <v>11542.250000000042</v>
      </c>
      <c r="I28" s="9">
        <f t="shared" si="4"/>
        <v>0</v>
      </c>
      <c r="J28" s="9">
        <f t="shared" si="4"/>
        <v>0</v>
      </c>
    </row>
    <row r="29" spans="1:12">
      <c r="B29" s="1" t="s">
        <v>39</v>
      </c>
      <c r="C29" s="9">
        <f>C10+C21</f>
        <v>131444.44</v>
      </c>
      <c r="D29" s="9">
        <f t="shared" ref="D29:J29" si="5">D10+D21</f>
        <v>1032123.5900000001</v>
      </c>
      <c r="E29" s="9">
        <f t="shared" si="5"/>
        <v>127727.69</v>
      </c>
      <c r="F29" s="9">
        <f t="shared" si="5"/>
        <v>1067017.51</v>
      </c>
      <c r="G29" s="9">
        <f t="shared" si="5"/>
        <v>-3716.75</v>
      </c>
      <c r="H29" s="9">
        <f t="shared" si="5"/>
        <v>34893.919999999867</v>
      </c>
      <c r="I29" s="9">
        <f t="shared" si="5"/>
        <v>0</v>
      </c>
      <c r="J29" s="9">
        <f t="shared" si="5"/>
        <v>0</v>
      </c>
    </row>
    <row r="30" spans="1:12">
      <c r="B30" s="1" t="s">
        <v>40</v>
      </c>
      <c r="C30" s="9">
        <f>C4+C5+C20+C22</f>
        <v>150015.03999999998</v>
      </c>
      <c r="D30" s="9">
        <f t="shared" ref="D30:J30" si="6">D4+D5+D20+D22</f>
        <v>1944758.96</v>
      </c>
      <c r="E30" s="9">
        <f t="shared" si="6"/>
        <v>145241.06</v>
      </c>
      <c r="F30" s="9">
        <f t="shared" si="6"/>
        <v>2324727.29</v>
      </c>
      <c r="G30" s="9">
        <f t="shared" si="6"/>
        <v>-4773.9799999999996</v>
      </c>
      <c r="H30" s="9">
        <f t="shared" si="6"/>
        <v>379968.32999999961</v>
      </c>
      <c r="I30" s="9">
        <f t="shared" si="6"/>
        <v>0</v>
      </c>
      <c r="J30" s="9">
        <f t="shared" si="6"/>
        <v>0</v>
      </c>
    </row>
    <row r="33" spans="4:7">
      <c r="E33">
        <v>500847.23</v>
      </c>
      <c r="F33">
        <v>457800.92</v>
      </c>
    </row>
    <row r="34" spans="4:7">
      <c r="E34">
        <v>100089.36</v>
      </c>
      <c r="F34">
        <v>86368.84</v>
      </c>
    </row>
    <row r="35" spans="4:7">
      <c r="D35" s="25">
        <f>C23-E35</f>
        <v>0</v>
      </c>
      <c r="E35" s="11">
        <f>E33+E34</f>
        <v>600936.59</v>
      </c>
      <c r="F35" s="11">
        <f>F33+F34</f>
        <v>544169.76</v>
      </c>
      <c r="G35" s="25">
        <f>E23-F35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декабрь17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2017-09-27T08:36:16Z</cp:lastPrinted>
  <dcterms:created xsi:type="dcterms:W3CDTF">1996-10-08T23:32:33Z</dcterms:created>
  <dcterms:modified xsi:type="dcterms:W3CDTF">2018-01-19T10:15:21Z</dcterms:modified>
</cp:coreProperties>
</file>