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7" sheetId="13" r:id="rId12"/>
    <sheet name="Лист14" sheetId="14" r:id="rId13"/>
  </sheets>
  <calcPr calcId="125725"/>
</workbook>
</file>

<file path=xl/calcChain.xml><?xml version="1.0" encoding="utf-8"?>
<calcChain xmlns="http://schemas.openxmlformats.org/spreadsheetml/2006/main">
  <c r="D35" i="13"/>
  <c r="C35"/>
  <c r="E12"/>
  <c r="E11"/>
  <c r="E18"/>
  <c r="C18"/>
  <c r="E20"/>
  <c r="E5"/>
  <c r="C20"/>
  <c r="C5"/>
  <c r="E19"/>
  <c r="E21"/>
  <c r="C21"/>
  <c r="E17"/>
  <c r="C17"/>
  <c r="E16"/>
  <c r="C16"/>
  <c r="E13"/>
  <c r="C13"/>
  <c r="E14"/>
  <c r="C14"/>
  <c r="E10"/>
  <c r="C10"/>
  <c r="E9"/>
  <c r="C9"/>
  <c r="E8"/>
  <c r="C8"/>
  <c r="E7"/>
  <c r="C7"/>
  <c r="E6"/>
  <c r="C6"/>
  <c r="E4"/>
  <c r="C4"/>
  <c r="E3"/>
  <c r="C3"/>
  <c r="E19" i="12"/>
  <c r="E18"/>
  <c r="C19"/>
  <c r="C18"/>
  <c r="C12"/>
  <c r="C11"/>
  <c r="D37"/>
  <c r="C37"/>
  <c r="E15"/>
  <c r="C15"/>
  <c r="E20"/>
  <c r="C20"/>
  <c r="E21"/>
  <c r="C21"/>
  <c r="E17"/>
  <c r="C17"/>
  <c r="E16"/>
  <c r="C16"/>
  <c r="E13"/>
  <c r="C13"/>
  <c r="E14"/>
  <c r="C14"/>
  <c r="E10"/>
  <c r="C10"/>
  <c r="E9"/>
  <c r="C9"/>
  <c r="E8"/>
  <c r="C8"/>
  <c r="E7"/>
  <c r="C7"/>
  <c r="E6"/>
  <c r="C6"/>
  <c r="E5"/>
  <c r="C5"/>
  <c r="E4"/>
  <c r="C4"/>
  <c r="E3"/>
  <c r="C3"/>
  <c r="C15" i="10"/>
  <c r="E22" i="11"/>
  <c r="C22"/>
  <c r="C19"/>
  <c r="C18"/>
  <c r="C12"/>
  <c r="C11"/>
  <c r="E22" i="10"/>
  <c r="C22"/>
  <c r="E19"/>
  <c r="C19"/>
  <c r="E12"/>
  <c r="E11"/>
  <c r="C12"/>
  <c r="B13"/>
  <c r="C11"/>
  <c r="E34"/>
  <c r="D34"/>
  <c r="E15"/>
  <c r="E20"/>
  <c r="C20"/>
  <c r="E18"/>
  <c r="C18"/>
  <c r="E21"/>
  <c r="C21"/>
  <c r="E5"/>
  <c r="C5"/>
  <c r="E17"/>
  <c r="C17"/>
  <c r="E16"/>
  <c r="C16"/>
  <c r="E13"/>
  <c r="C13"/>
  <c r="E14"/>
  <c r="C14"/>
  <c r="E10"/>
  <c r="C10"/>
  <c r="E9"/>
  <c r="C9"/>
  <c r="E8"/>
  <c r="C8"/>
  <c r="E7"/>
  <c r="C7"/>
  <c r="E6"/>
  <c r="C6"/>
  <c r="E4"/>
  <c r="C4"/>
  <c r="E3"/>
  <c r="C3"/>
  <c r="E5" i="11"/>
  <c r="C5"/>
  <c r="E14" l="1"/>
  <c r="G35"/>
  <c r="F35"/>
  <c r="E18"/>
  <c r="E12"/>
  <c r="E11"/>
  <c r="E15"/>
  <c r="C15"/>
  <c r="E20"/>
  <c r="C20"/>
  <c r="E21"/>
  <c r="C21"/>
  <c r="E17"/>
  <c r="C17"/>
  <c r="E16"/>
  <c r="C16"/>
  <c r="E13"/>
  <c r="C13"/>
  <c r="C14"/>
  <c r="E10"/>
  <c r="C10"/>
  <c r="E9"/>
  <c r="C9"/>
  <c r="E8"/>
  <c r="C8"/>
  <c r="E7"/>
  <c r="C7"/>
  <c r="E6"/>
  <c r="C6"/>
  <c r="E4"/>
  <c r="C4"/>
  <c r="E3"/>
  <c r="C3"/>
  <c r="E18" i="9"/>
  <c r="E11"/>
  <c r="E19"/>
  <c r="E16"/>
  <c r="C16"/>
  <c r="G36"/>
  <c r="F36"/>
  <c r="E5"/>
  <c r="C5"/>
  <c r="E22"/>
  <c r="C22"/>
  <c r="E21"/>
  <c r="C21"/>
  <c r="E20"/>
  <c r="C20"/>
  <c r="C19"/>
  <c r="C18"/>
  <c r="E17"/>
  <c r="C17"/>
  <c r="E15"/>
  <c r="C15"/>
  <c r="E14"/>
  <c r="C14"/>
  <c r="E13"/>
  <c r="C13"/>
  <c r="E12"/>
  <c r="C12"/>
  <c r="C11"/>
  <c r="E10"/>
  <c r="C10"/>
  <c r="E9"/>
  <c r="C9"/>
  <c r="E8"/>
  <c r="C8"/>
  <c r="E7"/>
  <c r="C7"/>
  <c r="E6"/>
  <c r="C6"/>
  <c r="E4"/>
  <c r="C4"/>
  <c r="E3"/>
  <c r="C3"/>
  <c r="E11" i="8"/>
  <c r="F35"/>
  <c r="E35"/>
  <c r="C5"/>
  <c r="E21" i="6"/>
  <c r="C5"/>
  <c r="K35"/>
  <c r="J35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E4"/>
  <c r="C4"/>
  <c r="E3"/>
  <c r="C3"/>
  <c r="J38" i="7"/>
  <c r="I38"/>
  <c r="E5"/>
  <c r="C5"/>
  <c r="E21"/>
  <c r="C21"/>
  <c r="E20"/>
  <c r="C20"/>
  <c r="E19"/>
  <c r="C19"/>
  <c r="E18"/>
  <c r="C18"/>
  <c r="E16"/>
  <c r="C16"/>
  <c r="E17"/>
  <c r="C17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4"/>
  <c r="C4"/>
  <c r="E3"/>
  <c r="C3"/>
  <c r="E20" i="5"/>
  <c r="E13"/>
  <c r="K37"/>
  <c r="J37"/>
  <c r="I36" i="4"/>
  <c r="H36"/>
  <c r="E4" i="3"/>
  <c r="E21"/>
  <c r="C21"/>
  <c r="E20"/>
  <c r="C20"/>
  <c r="E17"/>
  <c r="C17"/>
  <c r="E16"/>
  <c r="C16"/>
  <c r="E13"/>
  <c r="C13"/>
  <c r="E15"/>
  <c r="C15"/>
  <c r="E14"/>
  <c r="C14"/>
  <c r="E10"/>
  <c r="C10"/>
  <c r="E9"/>
  <c r="C9"/>
  <c r="E8"/>
  <c r="C8"/>
  <c r="E7"/>
  <c r="C7"/>
  <c r="E6"/>
  <c r="C6"/>
  <c r="E5"/>
  <c r="C5"/>
  <c r="C4"/>
  <c r="E3"/>
  <c r="C3"/>
  <c r="E22"/>
  <c r="C22"/>
  <c r="E19"/>
  <c r="C19"/>
  <c r="E11"/>
  <c r="E12"/>
  <c r="C12"/>
  <c r="C11"/>
  <c r="E26" i="13"/>
  <c r="C26"/>
  <c r="E28" l="1"/>
  <c r="I28"/>
  <c r="C28"/>
  <c r="I30" i="12"/>
  <c r="E30"/>
  <c r="C30"/>
  <c r="I29"/>
  <c r="E29"/>
  <c r="C29"/>
  <c r="I28"/>
  <c r="E28"/>
  <c r="C28"/>
  <c r="I30" i="10"/>
  <c r="E30"/>
  <c r="C30"/>
  <c r="I29"/>
  <c r="E29"/>
  <c r="C29"/>
  <c r="I28"/>
  <c r="E28"/>
  <c r="C28"/>
  <c r="E28" i="11"/>
  <c r="I28"/>
  <c r="C28"/>
  <c r="E28" i="9"/>
  <c r="I28"/>
  <c r="C28"/>
  <c r="E28" i="8"/>
  <c r="I28"/>
  <c r="C28"/>
  <c r="E28" i="7"/>
  <c r="I28"/>
  <c r="C28"/>
  <c r="E28" i="6"/>
  <c r="I28"/>
  <c r="C28"/>
  <c r="E30" i="5"/>
  <c r="I30"/>
  <c r="C30"/>
  <c r="E28" i="4"/>
  <c r="I28"/>
  <c r="C28"/>
  <c r="E28" i="3"/>
  <c r="I28"/>
  <c r="C28"/>
  <c r="E28" i="2"/>
  <c r="I28"/>
  <c r="C28"/>
  <c r="I30" i="11"/>
  <c r="E30"/>
  <c r="C30"/>
  <c r="I29"/>
  <c r="E29"/>
  <c r="C29"/>
  <c r="I30" i="9"/>
  <c r="E30"/>
  <c r="C30"/>
  <c r="I29"/>
  <c r="E29"/>
  <c r="C29"/>
  <c r="I30" i="8"/>
  <c r="E30"/>
  <c r="C30"/>
  <c r="I29"/>
  <c r="E29"/>
  <c r="C29"/>
  <c r="I30" i="7"/>
  <c r="E30"/>
  <c r="C30"/>
  <c r="I29"/>
  <c r="E29"/>
  <c r="C29"/>
  <c r="I30" i="6"/>
  <c r="E30"/>
  <c r="C30"/>
  <c r="I29"/>
  <c r="E29"/>
  <c r="C29"/>
  <c r="I32" i="5"/>
  <c r="E32"/>
  <c r="C32"/>
  <c r="I31"/>
  <c r="E31"/>
  <c r="C31"/>
  <c r="I28"/>
  <c r="I30" i="4" l="1"/>
  <c r="E30"/>
  <c r="C30"/>
  <c r="I29"/>
  <c r="E29"/>
  <c r="C29"/>
  <c r="I30" i="3"/>
  <c r="E30"/>
  <c r="C30"/>
  <c r="I29"/>
  <c r="E29"/>
  <c r="C29"/>
  <c r="E30" i="2"/>
  <c r="I30"/>
  <c r="C30"/>
  <c r="E29"/>
  <c r="I29"/>
  <c r="C29"/>
  <c r="C30" i="13" l="1"/>
  <c r="C29"/>
  <c r="I30"/>
  <c r="E30"/>
  <c r="I29"/>
  <c r="E29"/>
  <c r="E26" i="11" l="1"/>
  <c r="C26"/>
  <c r="E26" i="7"/>
  <c r="C26"/>
  <c r="E25" i="5"/>
  <c r="C25"/>
  <c r="C26" i="4"/>
  <c r="E26"/>
  <c r="J10" i="2"/>
  <c r="J10" i="3"/>
  <c r="J10" i="4"/>
  <c r="J12" i="5"/>
  <c r="J10" i="6"/>
  <c r="J10" i="7"/>
  <c r="J10" i="8"/>
  <c r="J10" i="9"/>
  <c r="J10" i="11"/>
  <c r="J10" i="10"/>
  <c r="J10" i="12"/>
  <c r="J10" i="13"/>
  <c r="B4" i="3"/>
  <c r="B4" i="4"/>
  <c r="B6" i="5"/>
  <c r="B4" i="6"/>
  <c r="B4" i="7"/>
  <c r="B4" i="8"/>
  <c r="B4" i="9"/>
  <c r="B4" i="11"/>
  <c r="B4" i="10"/>
  <c r="B4" i="12"/>
  <c r="B4" i="13"/>
  <c r="B5" i="3"/>
  <c r="B5" i="4"/>
  <c r="B7" i="5"/>
  <c r="B5" i="6"/>
  <c r="B5" i="7"/>
  <c r="B5" i="8"/>
  <c r="B5" i="9"/>
  <c r="B5" i="11"/>
  <c r="B5" i="10"/>
  <c r="B5" i="12"/>
  <c r="B5" i="13"/>
  <c r="B6" i="3"/>
  <c r="B6" i="4"/>
  <c r="B8" i="5"/>
  <c r="B6" i="6"/>
  <c r="B6" i="7"/>
  <c r="B6" i="8"/>
  <c r="B6" i="9"/>
  <c r="B6" i="11"/>
  <c r="B6" i="10"/>
  <c r="B6" i="12"/>
  <c r="B6" i="13"/>
  <c r="B7" i="3"/>
  <c r="B7" i="4"/>
  <c r="B9" i="5"/>
  <c r="B7" i="6"/>
  <c r="B7" i="7"/>
  <c r="B7" i="8"/>
  <c r="B7" i="9"/>
  <c r="B7" i="11"/>
  <c r="B7" i="10"/>
  <c r="B7" i="12"/>
  <c r="B7" i="13"/>
  <c r="B8" i="3"/>
  <c r="B8" i="4"/>
  <c r="B10" i="5"/>
  <c r="B8" i="6"/>
  <c r="B8" i="7"/>
  <c r="B8" i="8"/>
  <c r="B8" i="9"/>
  <c r="B8" i="11"/>
  <c r="B8" i="10"/>
  <c r="B8" i="12"/>
  <c r="B8" i="13"/>
  <c r="B9" i="3"/>
  <c r="B9" i="4"/>
  <c r="B11" i="5"/>
  <c r="B9" i="6"/>
  <c r="B9" i="7"/>
  <c r="B9" i="8"/>
  <c r="B9" i="9"/>
  <c r="B9" i="11"/>
  <c r="B9" i="10"/>
  <c r="B9" i="12"/>
  <c r="B9" i="13"/>
  <c r="B10" i="3"/>
  <c r="B10" i="4"/>
  <c r="B12" i="5"/>
  <c r="B10" i="6"/>
  <c r="B10" i="7"/>
  <c r="B10" i="8"/>
  <c r="B10" i="9"/>
  <c r="B10" i="11"/>
  <c r="B10" i="10"/>
  <c r="B10" i="12"/>
  <c r="B10" i="13"/>
  <c r="B11" i="3"/>
  <c r="B11" i="4"/>
  <c r="B13" i="5"/>
  <c r="B11" i="6"/>
  <c r="B11" i="7"/>
  <c r="B11" i="8"/>
  <c r="B11" i="9"/>
  <c r="B11" i="11"/>
  <c r="B11" i="10"/>
  <c r="B11" i="12"/>
  <c r="B11" i="13"/>
  <c r="B12" i="3"/>
  <c r="B12" i="4"/>
  <c r="B14" i="5"/>
  <c r="B12" i="6"/>
  <c r="B12" i="7"/>
  <c r="B12" i="8"/>
  <c r="B12" i="9"/>
  <c r="B12" i="11"/>
  <c r="B12" i="10"/>
  <c r="B12" i="12"/>
  <c r="B12" i="13"/>
  <c r="B13" i="3"/>
  <c r="B13" i="4"/>
  <c r="B15" i="5"/>
  <c r="B13" i="6"/>
  <c r="B13" i="7"/>
  <c r="B13" i="8"/>
  <c r="B13" i="9"/>
  <c r="B13" i="11"/>
  <c r="B13" i="12"/>
  <c r="B13" i="13"/>
  <c r="B14" i="3"/>
  <c r="B14" i="4"/>
  <c r="B16" i="5"/>
  <c r="B14" i="6"/>
  <c r="B14" i="7"/>
  <c r="B14" i="8"/>
  <c r="B14" i="9"/>
  <c r="B14" i="11"/>
  <c r="B14" i="10"/>
  <c r="B14" i="12"/>
  <c r="B14" i="13"/>
  <c r="B15" i="3"/>
  <c r="B15" i="4"/>
  <c r="B17" i="5"/>
  <c r="B15" i="6"/>
  <c r="B15" i="7"/>
  <c r="B15" i="8"/>
  <c r="B15" i="9"/>
  <c r="B15" i="11"/>
  <c r="B15" i="10"/>
  <c r="B15" i="12"/>
  <c r="B15" i="13"/>
  <c r="B16" i="3"/>
  <c r="B16" i="4"/>
  <c r="B18" i="5"/>
  <c r="B16" i="6"/>
  <c r="B16" i="7"/>
  <c r="B16" i="8"/>
  <c r="B16" i="9"/>
  <c r="B16" i="11"/>
  <c r="B16" i="10"/>
  <c r="B16" i="12"/>
  <c r="B16" i="13"/>
  <c r="B17" i="3"/>
  <c r="B17" i="4"/>
  <c r="B19" i="5"/>
  <c r="B17" i="6"/>
  <c r="B17" i="7"/>
  <c r="B17" i="8"/>
  <c r="B17" i="9"/>
  <c r="B17" i="11"/>
  <c r="B17" i="10"/>
  <c r="B17" i="12"/>
  <c r="B17" i="13"/>
  <c r="B18" i="3"/>
  <c r="B18" i="4"/>
  <c r="B20" i="5"/>
  <c r="B18" i="6"/>
  <c r="B18" i="7"/>
  <c r="B18" i="8"/>
  <c r="B18" i="9"/>
  <c r="B18" i="11"/>
  <c r="B18" i="10"/>
  <c r="B18" i="12"/>
  <c r="B18" i="13"/>
  <c r="B19" i="3"/>
  <c r="B19" i="4"/>
  <c r="B21" i="5"/>
  <c r="B19" i="6"/>
  <c r="B19" i="7"/>
  <c r="B19" i="8"/>
  <c r="B19" i="9"/>
  <c r="B19" i="11"/>
  <c r="B19" i="10"/>
  <c r="B19" i="12"/>
  <c r="B19" i="13"/>
  <c r="B20" i="3"/>
  <c r="B20" i="4"/>
  <c r="B22" i="5"/>
  <c r="B20" i="6"/>
  <c r="B20" i="7"/>
  <c r="B20" i="8"/>
  <c r="B20" i="9"/>
  <c r="B20" i="11"/>
  <c r="B20" i="10"/>
  <c r="B20" i="12"/>
  <c r="B20" i="13"/>
  <c r="B21" i="3"/>
  <c r="B21" i="4"/>
  <c r="B23" i="5"/>
  <c r="B21" i="6"/>
  <c r="B21" i="7"/>
  <c r="B21" i="8"/>
  <c r="B21" i="9"/>
  <c r="B21" i="11"/>
  <c r="B21" i="10"/>
  <c r="B21" i="12"/>
  <c r="B21" i="13"/>
  <c r="B22" i="3"/>
  <c r="B22" i="4"/>
  <c r="B24" i="5"/>
  <c r="B22" i="6"/>
  <c r="B22" i="7"/>
  <c r="B22" i="8"/>
  <c r="B22" i="9"/>
  <c r="B22" i="11"/>
  <c r="B22" i="10"/>
  <c r="B22" i="12"/>
  <c r="B22" i="13"/>
  <c r="B3" i="3"/>
  <c r="B3" i="4"/>
  <c r="B5" i="5"/>
  <c r="B3" i="6"/>
  <c r="B3" i="7"/>
  <c r="B3" i="8"/>
  <c r="B3" i="9"/>
  <c r="B3" i="11"/>
  <c r="B3" i="10"/>
  <c r="B3" i="12"/>
  <c r="B3" i="13"/>
  <c r="F4" i="2"/>
  <c r="F4" i="3"/>
  <c r="F4" i="4"/>
  <c r="F6" i="5"/>
  <c r="F5" i="2"/>
  <c r="F5" i="3"/>
  <c r="F5" i="4"/>
  <c r="F7" i="5"/>
  <c r="D5" i="2"/>
  <c r="D5" i="3"/>
  <c r="D5" i="4"/>
  <c r="H7" i="5"/>
  <c r="F6" i="2"/>
  <c r="F6" i="3"/>
  <c r="F6" i="4"/>
  <c r="F8" i="5"/>
  <c r="F7" i="2"/>
  <c r="F7" i="3"/>
  <c r="F7" i="4"/>
  <c r="F9" i="5"/>
  <c r="F8" i="2"/>
  <c r="F8" i="3"/>
  <c r="F8" i="4"/>
  <c r="F10" i="5"/>
  <c r="F9" i="2"/>
  <c r="F9" i="3"/>
  <c r="F9" i="4"/>
  <c r="F11" i="5"/>
  <c r="F10" i="2"/>
  <c r="F10" i="3"/>
  <c r="F10" i="4"/>
  <c r="F12" i="5"/>
  <c r="F11" i="2"/>
  <c r="F11" i="3"/>
  <c r="F11" i="4"/>
  <c r="F13" i="5"/>
  <c r="F12" i="2"/>
  <c r="F12" i="3"/>
  <c r="F12" i="4"/>
  <c r="F14" i="5"/>
  <c r="F13" i="2"/>
  <c r="F13" i="3"/>
  <c r="F13" i="4"/>
  <c r="F15" i="5"/>
  <c r="F14" i="2"/>
  <c r="F14" i="3"/>
  <c r="F14" i="4"/>
  <c r="F16" i="5"/>
  <c r="F15" i="2"/>
  <c r="F15" i="3"/>
  <c r="F15" i="4"/>
  <c r="F17" i="5"/>
  <c r="F16" i="2"/>
  <c r="F29" s="1"/>
  <c r="F16" i="3"/>
  <c r="F29" s="1"/>
  <c r="F16" i="4"/>
  <c r="F29" s="1"/>
  <c r="F18" i="5"/>
  <c r="F31" s="1"/>
  <c r="F17" i="2"/>
  <c r="F17" i="3"/>
  <c r="F17" i="4"/>
  <c r="F19" i="5"/>
  <c r="F18" i="2"/>
  <c r="F18" i="3"/>
  <c r="F18" i="4"/>
  <c r="F20" i="5"/>
  <c r="F19" i="2"/>
  <c r="F19" i="3"/>
  <c r="F19" i="4"/>
  <c r="F21" i="5"/>
  <c r="F20" i="2"/>
  <c r="F20" i="3"/>
  <c r="F20" i="4"/>
  <c r="F22" i="5"/>
  <c r="D4" i="2"/>
  <c r="D4" i="3"/>
  <c r="D4" i="4"/>
  <c r="D5" i="6"/>
  <c r="D6" i="2"/>
  <c r="D6" i="3"/>
  <c r="D6" i="4"/>
  <c r="D7" i="2"/>
  <c r="D7" i="3"/>
  <c r="D7" i="4"/>
  <c r="D7" i="6"/>
  <c r="D8" i="2"/>
  <c r="D8" i="3"/>
  <c r="D8" i="4"/>
  <c r="D9" i="2"/>
  <c r="D9" i="3"/>
  <c r="D9" i="4"/>
  <c r="D9" i="6"/>
  <c r="D10" i="2"/>
  <c r="D10" i="3"/>
  <c r="D10" i="4"/>
  <c r="D11" i="2"/>
  <c r="D11" i="3"/>
  <c r="D11" i="4"/>
  <c r="D11" i="6"/>
  <c r="D12" i="2"/>
  <c r="D12" i="3"/>
  <c r="D12" i="4"/>
  <c r="D13" i="2"/>
  <c r="D13" i="3"/>
  <c r="D13" i="4"/>
  <c r="D13" i="6"/>
  <c r="D14" i="2"/>
  <c r="D14" i="3"/>
  <c r="D14" i="4"/>
  <c r="D15" i="2"/>
  <c r="D15" i="3"/>
  <c r="D15" i="4"/>
  <c r="D15" i="6"/>
  <c r="D16" i="2"/>
  <c r="D29" s="1"/>
  <c r="D16" i="3"/>
  <c r="D29" s="1"/>
  <c r="D16" i="4"/>
  <c r="D29" s="1"/>
  <c r="D31" i="5"/>
  <c r="D17" i="2"/>
  <c r="D17" i="3"/>
  <c r="D17" i="4"/>
  <c r="D17" i="6"/>
  <c r="D18" i="2"/>
  <c r="D18" i="3"/>
  <c r="D18" i="4"/>
  <c r="D19" i="2"/>
  <c r="D19" i="3"/>
  <c r="D19" i="4"/>
  <c r="D19" i="6"/>
  <c r="D20" i="2"/>
  <c r="D20" i="3"/>
  <c r="D20" i="4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5" i="3"/>
  <c r="J5" i="4"/>
  <c r="J7" i="5"/>
  <c r="J5" i="6"/>
  <c r="J5" i="7"/>
  <c r="J5" i="8"/>
  <c r="J5" i="9"/>
  <c r="J5" i="11"/>
  <c r="J5" i="10"/>
  <c r="J5" i="12"/>
  <c r="J5" i="13"/>
  <c r="J6" i="2"/>
  <c r="J7"/>
  <c r="J7" i="3"/>
  <c r="J7" i="4"/>
  <c r="J9" i="5"/>
  <c r="J7" i="6"/>
  <c r="J7" i="7"/>
  <c r="J7" i="8"/>
  <c r="J7" i="9"/>
  <c r="J7" i="11"/>
  <c r="J7" i="10"/>
  <c r="J7" i="12"/>
  <c r="J7" i="13"/>
  <c r="J8" i="2"/>
  <c r="J9"/>
  <c r="J9" i="3"/>
  <c r="J9" i="4"/>
  <c r="J11" i="5"/>
  <c r="J9" i="6"/>
  <c r="J9" i="7"/>
  <c r="J9" i="8"/>
  <c r="J9" i="9"/>
  <c r="J9" i="11"/>
  <c r="J9" i="10"/>
  <c r="J9" i="12"/>
  <c r="J9" i="13"/>
  <c r="J11" i="2"/>
  <c r="J11" i="3"/>
  <c r="J11" i="4"/>
  <c r="J13" i="5"/>
  <c r="J11" i="6"/>
  <c r="J11" i="7"/>
  <c r="J11" i="8"/>
  <c r="J11" i="9"/>
  <c r="J11" i="11"/>
  <c r="J11" i="10"/>
  <c r="J11" i="12"/>
  <c r="J11" i="13"/>
  <c r="J12" i="2"/>
  <c r="J13"/>
  <c r="J13" i="3"/>
  <c r="J13" i="4"/>
  <c r="J15" i="5"/>
  <c r="J13" i="6"/>
  <c r="J13" i="7"/>
  <c r="J13" i="8"/>
  <c r="J13" i="9"/>
  <c r="J13" i="11"/>
  <c r="J13" i="10"/>
  <c r="J13" i="12"/>
  <c r="J13" i="13"/>
  <c r="J14" i="2"/>
  <c r="J15"/>
  <c r="J15" i="3"/>
  <c r="J15" i="4"/>
  <c r="J17" i="5"/>
  <c r="J15" i="6"/>
  <c r="J15" i="7"/>
  <c r="J15" i="8"/>
  <c r="J15" i="9"/>
  <c r="J15" i="11"/>
  <c r="J15" i="10"/>
  <c r="J15" i="12"/>
  <c r="J15" i="13"/>
  <c r="J16" i="2"/>
  <c r="J29" s="1"/>
  <c r="J17"/>
  <c r="J17" i="3"/>
  <c r="J17" i="4"/>
  <c r="J19" i="5"/>
  <c r="J17" i="6"/>
  <c r="J17" i="7"/>
  <c r="J17" i="8"/>
  <c r="J17" i="9"/>
  <c r="J17" i="11"/>
  <c r="J17" i="10"/>
  <c r="J17" i="12"/>
  <c r="J17" i="13"/>
  <c r="J18" i="2"/>
  <c r="J19"/>
  <c r="J19" i="3"/>
  <c r="J19" i="4"/>
  <c r="J21" i="5"/>
  <c r="J19" i="6"/>
  <c r="J19" i="7"/>
  <c r="J19" i="8"/>
  <c r="J19" i="9"/>
  <c r="J19" i="11"/>
  <c r="J19" i="10"/>
  <c r="J19" i="12"/>
  <c r="J19" i="13"/>
  <c r="J20" i="2"/>
  <c r="J21"/>
  <c r="J22"/>
  <c r="J3"/>
  <c r="F21"/>
  <c r="F22"/>
  <c r="F3"/>
  <c r="D21"/>
  <c r="D22"/>
  <c r="D3"/>
  <c r="G22"/>
  <c r="G6" i="12"/>
  <c r="G19"/>
  <c r="G4"/>
  <c r="G3"/>
  <c r="J4" i="3"/>
  <c r="J6"/>
  <c r="J6" i="4"/>
  <c r="J8" i="5"/>
  <c r="J6" i="6"/>
  <c r="J6" i="7"/>
  <c r="J6" i="8"/>
  <c r="J6" i="9"/>
  <c r="J6" i="11"/>
  <c r="J6" i="10"/>
  <c r="J6" i="12"/>
  <c r="J6" i="13"/>
  <c r="J8" i="3"/>
  <c r="J8" i="4"/>
  <c r="J10" i="5"/>
  <c r="J8" i="6"/>
  <c r="J8" i="7"/>
  <c r="J8" i="8"/>
  <c r="J8" i="9"/>
  <c r="J8" i="11"/>
  <c r="J8" i="10"/>
  <c r="J8" i="12"/>
  <c r="J8" i="13"/>
  <c r="J12" i="3"/>
  <c r="J12" i="4"/>
  <c r="J14" i="5"/>
  <c r="J12" i="6"/>
  <c r="J12" i="7"/>
  <c r="J12" i="8"/>
  <c r="J12" i="9"/>
  <c r="J12" i="11"/>
  <c r="J12" i="10"/>
  <c r="J12" i="12"/>
  <c r="J12" i="13"/>
  <c r="J14" i="3"/>
  <c r="J14" i="4"/>
  <c r="J16" i="5"/>
  <c r="J14" i="6"/>
  <c r="J14" i="7"/>
  <c r="J14" i="8"/>
  <c r="J14" i="9"/>
  <c r="J14" i="11"/>
  <c r="J14" i="10"/>
  <c r="J14" i="12"/>
  <c r="J14" i="13"/>
  <c r="J16" i="3"/>
  <c r="J29" s="1"/>
  <c r="J16" i="4"/>
  <c r="J29" s="1"/>
  <c r="J18" i="5"/>
  <c r="J31" s="1"/>
  <c r="J16" i="6"/>
  <c r="J29" s="1"/>
  <c r="J16" i="7"/>
  <c r="J29" s="1"/>
  <c r="J16" i="8"/>
  <c r="J29" s="1"/>
  <c r="J16" i="9"/>
  <c r="J29" s="1"/>
  <c r="J16" i="11"/>
  <c r="J29" s="1"/>
  <c r="J16" i="10"/>
  <c r="J29" s="1"/>
  <c r="J16" i="12"/>
  <c r="J29" s="1"/>
  <c r="J16" i="13"/>
  <c r="J29" s="1"/>
  <c r="J18" i="3"/>
  <c r="J18" i="4"/>
  <c r="J20" i="5"/>
  <c r="J18" i="6"/>
  <c r="J18" i="7"/>
  <c r="J18" i="8"/>
  <c r="J18" i="9"/>
  <c r="J18" i="11"/>
  <c r="J18" i="10"/>
  <c r="J18" i="12"/>
  <c r="J18" i="13"/>
  <c r="J3" i="3"/>
  <c r="J3" i="4"/>
  <c r="F4" i="6"/>
  <c r="F5"/>
  <c r="F5" i="7"/>
  <c r="F5" i="8"/>
  <c r="F5" i="9"/>
  <c r="F5" i="11" s="1"/>
  <c r="F6" i="6"/>
  <c r="F7"/>
  <c r="F7" i="7"/>
  <c r="F7" i="8"/>
  <c r="F7" i="9"/>
  <c r="F7" i="11" s="1"/>
  <c r="F7" i="10" s="1"/>
  <c r="F7" i="12" s="1"/>
  <c r="F7" i="13" s="1"/>
  <c r="F8" i="6"/>
  <c r="F8" i="7"/>
  <c r="F8" i="8"/>
  <c r="F8" i="9"/>
  <c r="F8" i="11" s="1"/>
  <c r="F9" i="6"/>
  <c r="F9" i="7"/>
  <c r="F9" i="8"/>
  <c r="F9" i="9"/>
  <c r="F9" i="11" s="1"/>
  <c r="F10" i="6"/>
  <c r="F10" i="7"/>
  <c r="F10" i="8"/>
  <c r="F10" i="9"/>
  <c r="F10" i="11" s="1"/>
  <c r="F11" i="6"/>
  <c r="F11" i="7"/>
  <c r="F11" i="8"/>
  <c r="F11" i="9"/>
  <c r="F11" i="11" s="1"/>
  <c r="F11" i="10" s="1"/>
  <c r="F11" i="12" s="1"/>
  <c r="F11" i="13" s="1"/>
  <c r="F12" i="6"/>
  <c r="F12" i="7"/>
  <c r="F12" i="8"/>
  <c r="F12" i="9"/>
  <c r="F12" i="11" s="1"/>
  <c r="F13" i="6"/>
  <c r="F13" i="7"/>
  <c r="F13" i="8"/>
  <c r="F13" i="9"/>
  <c r="F13" i="11" s="1"/>
  <c r="F14" i="6"/>
  <c r="F14" i="7"/>
  <c r="F14" i="8"/>
  <c r="F14" i="9"/>
  <c r="F14" i="11" s="1"/>
  <c r="F15" i="6"/>
  <c r="F15" i="7"/>
  <c r="F15" i="8"/>
  <c r="F15" i="9"/>
  <c r="F15" i="11" s="1"/>
  <c r="F15" i="10" s="1"/>
  <c r="F15" i="12" s="1"/>
  <c r="F15" i="13" s="1"/>
  <c r="F16" i="6"/>
  <c r="F29" s="1"/>
  <c r="F16" i="7"/>
  <c r="F29" s="1"/>
  <c r="F16" i="8"/>
  <c r="F29" s="1"/>
  <c r="F16" i="9"/>
  <c r="F29" s="1"/>
  <c r="F17" i="6"/>
  <c r="F17" i="7"/>
  <c r="F17" i="8"/>
  <c r="F17" i="9"/>
  <c r="F17" i="11" s="1"/>
  <c r="F18" i="6"/>
  <c r="F18" i="7"/>
  <c r="F18" i="8"/>
  <c r="F18" i="9"/>
  <c r="F18" i="11" s="1"/>
  <c r="F19" i="6"/>
  <c r="F19" i="7"/>
  <c r="F19" i="8"/>
  <c r="F19" i="9"/>
  <c r="F19" i="11" s="1"/>
  <c r="F20" i="6"/>
  <c r="F20" i="7"/>
  <c r="F20" i="8"/>
  <c r="F20" i="9"/>
  <c r="F20" i="11" s="1"/>
  <c r="F3" i="3"/>
  <c r="F3" i="4"/>
  <c r="F26"/>
  <c r="D4" i="6"/>
  <c r="D6"/>
  <c r="D6" i="7"/>
  <c r="D8" i="6"/>
  <c r="D10"/>
  <c r="D12"/>
  <c r="D14"/>
  <c r="D16"/>
  <c r="D29" s="1"/>
  <c r="D18"/>
  <c r="D20"/>
  <c r="D3" i="3"/>
  <c r="F21"/>
  <c r="F21" i="4"/>
  <c r="F23" i="5"/>
  <c r="F22" i="3"/>
  <c r="F22" i="4"/>
  <c r="F24" i="5"/>
  <c r="K23" i="13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2"/>
  <c r="I23"/>
  <c r="G5"/>
  <c r="G7"/>
  <c r="G8"/>
  <c r="G9"/>
  <c r="G10"/>
  <c r="G11"/>
  <c r="G12"/>
  <c r="G14"/>
  <c r="G15"/>
  <c r="G16"/>
  <c r="G29" s="1"/>
  <c r="G17"/>
  <c r="G18"/>
  <c r="G20"/>
  <c r="G21"/>
  <c r="E23"/>
  <c r="E37" s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G23"/>
  <c r="E23"/>
  <c r="C23"/>
  <c r="C34" s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5"/>
  <c r="I25"/>
  <c r="H6"/>
  <c r="H10"/>
  <c r="H14"/>
  <c r="H18"/>
  <c r="H31" s="1"/>
  <c r="G5"/>
  <c r="G6"/>
  <c r="G7"/>
  <c r="G8"/>
  <c r="G9"/>
  <c r="G10"/>
  <c r="G11"/>
  <c r="G12"/>
  <c r="G13"/>
  <c r="G14"/>
  <c r="G15"/>
  <c r="G16"/>
  <c r="G17"/>
  <c r="G18"/>
  <c r="G31" s="1"/>
  <c r="G19"/>
  <c r="G20"/>
  <c r="G21"/>
  <c r="G22"/>
  <c r="G23"/>
  <c r="G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29" s="1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G4" i="2"/>
  <c r="H4"/>
  <c r="G5"/>
  <c r="G6"/>
  <c r="G7"/>
  <c r="H7"/>
  <c r="G8"/>
  <c r="G9"/>
  <c r="G10"/>
  <c r="G11"/>
  <c r="G12"/>
  <c r="G13"/>
  <c r="G14"/>
  <c r="G15"/>
  <c r="H15"/>
  <c r="G16"/>
  <c r="G29" s="1"/>
  <c r="G17"/>
  <c r="G18"/>
  <c r="H18"/>
  <c r="G19"/>
  <c r="G20"/>
  <c r="G21"/>
  <c r="L5" i="3"/>
  <c r="L6"/>
  <c r="L6" i="4"/>
  <c r="L8" i="5"/>
  <c r="L6" i="6"/>
  <c r="L6" i="7"/>
  <c r="L6" i="8"/>
  <c r="L6" i="9"/>
  <c r="L6" i="11"/>
  <c r="L6" i="10"/>
  <c r="L6" i="12"/>
  <c r="L6" i="13"/>
  <c r="L7" i="3"/>
  <c r="L7" i="4"/>
  <c r="L9" i="5"/>
  <c r="L7" i="6"/>
  <c r="L7" i="7"/>
  <c r="L7" i="8"/>
  <c r="L7" i="9"/>
  <c r="L7" i="11"/>
  <c r="L7" i="10"/>
  <c r="L7" i="12"/>
  <c r="L7" i="13"/>
  <c r="L8" i="3"/>
  <c r="L8" i="4"/>
  <c r="L10" i="5"/>
  <c r="L8" i="6"/>
  <c r="L8" i="7"/>
  <c r="L8" i="8"/>
  <c r="L8" i="9"/>
  <c r="L8" i="11"/>
  <c r="L8" i="10"/>
  <c r="L8" i="12"/>
  <c r="L8" i="13"/>
  <c r="L9" i="3"/>
  <c r="L9" i="4"/>
  <c r="L11" i="5"/>
  <c r="L9" i="6"/>
  <c r="L9" i="7"/>
  <c r="L9" i="8"/>
  <c r="L9" i="9"/>
  <c r="L9" i="11"/>
  <c r="L9" i="10"/>
  <c r="L9" i="12"/>
  <c r="L9" i="13"/>
  <c r="L10" i="3"/>
  <c r="L10" i="4"/>
  <c r="L12" i="5"/>
  <c r="L10" i="6"/>
  <c r="L10" i="7"/>
  <c r="L10" i="8"/>
  <c r="L10" i="9"/>
  <c r="L10" i="11"/>
  <c r="L10" i="10"/>
  <c r="L10" i="12"/>
  <c r="L10" i="13"/>
  <c r="L12" i="3"/>
  <c r="L12" i="4"/>
  <c r="L14" i="5"/>
  <c r="L12" i="6"/>
  <c r="L12" i="7"/>
  <c r="L12" i="8"/>
  <c r="L12" i="9"/>
  <c r="L12" i="11"/>
  <c r="L12" i="10"/>
  <c r="L12" i="12"/>
  <c r="L12" i="13"/>
  <c r="L13" i="3"/>
  <c r="L13" i="4"/>
  <c r="L15" i="5"/>
  <c r="L13" i="6"/>
  <c r="L13" i="7"/>
  <c r="L13" i="8"/>
  <c r="L13" i="9"/>
  <c r="L13" i="11"/>
  <c r="L13" i="10"/>
  <c r="L13" i="12"/>
  <c r="L13" i="13"/>
  <c r="L14" i="3"/>
  <c r="L14" i="4"/>
  <c r="L16" i="5"/>
  <c r="L14" i="6"/>
  <c r="L14" i="7"/>
  <c r="L14" i="8"/>
  <c r="L14" i="9"/>
  <c r="L14" i="11"/>
  <c r="L14" i="10"/>
  <c r="L14" i="12"/>
  <c r="L14" i="13"/>
  <c r="L15" i="3"/>
  <c r="L15" i="4"/>
  <c r="L17" i="5"/>
  <c r="L15" i="6"/>
  <c r="L15" i="7"/>
  <c r="L15" i="8"/>
  <c r="L15" i="9"/>
  <c r="L15" i="11"/>
  <c r="L15" i="10"/>
  <c r="L15" i="12"/>
  <c r="L15" i="13"/>
  <c r="L16" i="3"/>
  <c r="L16" i="4"/>
  <c r="L18" i="5"/>
  <c r="L16" i="6"/>
  <c r="L16" i="7"/>
  <c r="L16" i="8"/>
  <c r="L16" i="9"/>
  <c r="L16" i="11"/>
  <c r="L16" i="10"/>
  <c r="L16" i="12"/>
  <c r="L16" i="13"/>
  <c r="L17" i="3"/>
  <c r="L17" i="4"/>
  <c r="L19" i="5"/>
  <c r="L17" i="6"/>
  <c r="L17" i="7"/>
  <c r="L17" i="8"/>
  <c r="L17" i="9"/>
  <c r="L17" i="11"/>
  <c r="L17" i="10"/>
  <c r="L17" i="12"/>
  <c r="L17" i="13"/>
  <c r="L18" i="3"/>
  <c r="L18" i="4"/>
  <c r="L20" i="5"/>
  <c r="L18" i="6"/>
  <c r="L18" i="7"/>
  <c r="L18" i="8"/>
  <c r="L18" i="9"/>
  <c r="L18" i="11"/>
  <c r="L18" i="10"/>
  <c r="L18" i="12"/>
  <c r="L18" i="13"/>
  <c r="L19" i="3"/>
  <c r="L19" i="4"/>
  <c r="L21" i="5"/>
  <c r="L19" i="6"/>
  <c r="L19" i="7"/>
  <c r="L19" i="8"/>
  <c r="L19" i="9"/>
  <c r="L19" i="11"/>
  <c r="L19" i="10"/>
  <c r="L19" i="12"/>
  <c r="L19" i="13"/>
  <c r="L20" i="3"/>
  <c r="L20" i="4"/>
  <c r="L22" i="5"/>
  <c r="L20" i="6"/>
  <c r="L20" i="7"/>
  <c r="L20" i="8"/>
  <c r="L20" i="9"/>
  <c r="L20" i="11"/>
  <c r="L20" i="10"/>
  <c r="L20" i="12"/>
  <c r="L20" i="13"/>
  <c r="L21" i="3"/>
  <c r="L21" i="4"/>
  <c r="L23" i="5"/>
  <c r="L21" i="6"/>
  <c r="L21" i="7"/>
  <c r="L21" i="8"/>
  <c r="L21" i="9"/>
  <c r="L21" i="11"/>
  <c r="L21" i="10"/>
  <c r="L21" i="12"/>
  <c r="L21" i="13"/>
  <c r="L22" i="3"/>
  <c r="L22" i="4"/>
  <c r="L24" i="5"/>
  <c r="L22" i="6"/>
  <c r="L22" i="7"/>
  <c r="L22" i="8"/>
  <c r="L22" i="9"/>
  <c r="L22" i="11"/>
  <c r="L22" i="10"/>
  <c r="L22" i="12"/>
  <c r="L22" i="13"/>
  <c r="J20" i="3"/>
  <c r="J21"/>
  <c r="J21" i="4"/>
  <c r="J23" i="5"/>
  <c r="J21" i="6"/>
  <c r="J21" i="7"/>
  <c r="J21" i="8"/>
  <c r="J21" i="9"/>
  <c r="J21" i="11"/>
  <c r="J21" i="10"/>
  <c r="J21" i="12"/>
  <c r="J21" i="13"/>
  <c r="K24" i="14"/>
  <c r="J4"/>
  <c r="J24"/>
  <c r="I24"/>
  <c r="F4"/>
  <c r="F24"/>
  <c r="D4"/>
  <c r="E4"/>
  <c r="E24"/>
  <c r="C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H3"/>
  <c r="G3"/>
  <c r="F23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L23"/>
  <c r="G22" i="12"/>
  <c r="G13"/>
  <c r="C23"/>
  <c r="D4" i="7"/>
  <c r="H21" i="2"/>
  <c r="G23" i="8"/>
  <c r="H19" i="3"/>
  <c r="H15"/>
  <c r="H7"/>
  <c r="D21"/>
  <c r="H21"/>
  <c r="D21" i="4"/>
  <c r="G23" i="13"/>
  <c r="J22" i="3"/>
  <c r="J22" i="4"/>
  <c r="J24" i="5"/>
  <c r="J22" i="6"/>
  <c r="J22" i="7"/>
  <c r="J22" i="8"/>
  <c r="J22" i="9"/>
  <c r="J22" i="11"/>
  <c r="J22" i="10"/>
  <c r="J22" i="12"/>
  <c r="J22" i="13"/>
  <c r="J20" i="4"/>
  <c r="L3" i="3"/>
  <c r="L3" i="4"/>
  <c r="L5" i="5"/>
  <c r="L3" i="6"/>
  <c r="L3" i="7"/>
  <c r="L3" i="8"/>
  <c r="L4" i="3"/>
  <c r="L4" i="4"/>
  <c r="L6" i="5"/>
  <c r="L4" i="6"/>
  <c r="L4" i="7"/>
  <c r="L4" i="8"/>
  <c r="L4" i="9"/>
  <c r="L4" i="11"/>
  <c r="L4" i="10"/>
  <c r="L4" i="12"/>
  <c r="L4" i="13"/>
  <c r="M4" i="2"/>
  <c r="L4" i="14"/>
  <c r="L24"/>
  <c r="L11" i="3"/>
  <c r="L11" i="4"/>
  <c r="L13" i="5"/>
  <c r="L11" i="6"/>
  <c r="L11" i="7"/>
  <c r="L11" i="8"/>
  <c r="L11" i="9"/>
  <c r="L11" i="11"/>
  <c r="L11" i="10"/>
  <c r="L11" i="12"/>
  <c r="L11" i="13"/>
  <c r="H19" i="2"/>
  <c r="H14"/>
  <c r="H11"/>
  <c r="H6"/>
  <c r="H19" i="5"/>
  <c r="H15"/>
  <c r="H20" i="2"/>
  <c r="H16"/>
  <c r="H29" s="1"/>
  <c r="H12"/>
  <c r="H8"/>
  <c r="H5"/>
  <c r="H13"/>
  <c r="H17"/>
  <c r="J22" i="5"/>
  <c r="J20" i="6"/>
  <c r="J20" i="7"/>
  <c r="J20" i="8"/>
  <c r="J20" i="9"/>
  <c r="J20" i="11"/>
  <c r="J20" i="10"/>
  <c r="J20" i="12"/>
  <c r="J20" i="13"/>
  <c r="H9" i="3"/>
  <c r="H9" i="2"/>
  <c r="H13" i="3"/>
  <c r="H5"/>
  <c r="H13" i="5"/>
  <c r="H17"/>
  <c r="H21"/>
  <c r="G4" i="14"/>
  <c r="G24"/>
  <c r="H22" i="5"/>
  <c r="H16"/>
  <c r="H12"/>
  <c r="H8"/>
  <c r="F6" i="7"/>
  <c r="F6" i="8"/>
  <c r="F6" i="9"/>
  <c r="F6" i="11" s="1"/>
  <c r="H6" i="6"/>
  <c r="H11" i="5"/>
  <c r="H9"/>
  <c r="G23" i="12"/>
  <c r="G23" i="11"/>
  <c r="G23" i="9"/>
  <c r="G23" i="6"/>
  <c r="G25" i="5"/>
  <c r="H9" i="4"/>
  <c r="L3" i="9"/>
  <c r="L5" i="4"/>
  <c r="L23" i="3"/>
  <c r="M4"/>
  <c r="J4" i="4"/>
  <c r="J30" s="1"/>
  <c r="J23"/>
  <c r="J5" i="5"/>
  <c r="J23" i="3"/>
  <c r="J23" i="2"/>
  <c r="M11"/>
  <c r="H18" i="4"/>
  <c r="H18" i="3"/>
  <c r="H14" i="4"/>
  <c r="H14" i="3"/>
  <c r="H6" i="4"/>
  <c r="H6" i="3"/>
  <c r="F5" i="5"/>
  <c r="H20" i="4"/>
  <c r="H20" i="3"/>
  <c r="H12" i="4"/>
  <c r="H12" i="3"/>
  <c r="H4" i="4"/>
  <c r="F23" i="3"/>
  <c r="H4"/>
  <c r="H30" s="1"/>
  <c r="F4" i="7"/>
  <c r="F30" s="1"/>
  <c r="F4" i="8"/>
  <c r="F30" s="1"/>
  <c r="F4" i="9"/>
  <c r="F30" s="1"/>
  <c r="H4" i="6"/>
  <c r="H16" i="4"/>
  <c r="H29" s="1"/>
  <c r="H17"/>
  <c r="H21"/>
  <c r="H6" i="7"/>
  <c r="H4" i="14"/>
  <c r="H24"/>
  <c r="H13" i="4"/>
  <c r="H8"/>
  <c r="H5"/>
  <c r="H19"/>
  <c r="H15"/>
  <c r="H7"/>
  <c r="H10"/>
  <c r="H10" i="3"/>
  <c r="D3" i="4"/>
  <c r="D26"/>
  <c r="H3" i="3"/>
  <c r="D20" i="7"/>
  <c r="H20" i="6"/>
  <c r="D19" i="7"/>
  <c r="H19" i="6"/>
  <c r="D18" i="7"/>
  <c r="H18" i="6"/>
  <c r="D17" i="7"/>
  <c r="H17" i="6"/>
  <c r="D16" i="7"/>
  <c r="D29" s="1"/>
  <c r="H16" i="6"/>
  <c r="H29" s="1"/>
  <c r="D15" i="7"/>
  <c r="H15" i="6"/>
  <c r="D14" i="7"/>
  <c r="H14" i="6"/>
  <c r="D13" i="7"/>
  <c r="H13" i="6"/>
  <c r="D12" i="7"/>
  <c r="H12" i="6"/>
  <c r="D11" i="7"/>
  <c r="H11" i="6"/>
  <c r="D10" i="7"/>
  <c r="H10" i="6"/>
  <c r="D9" i="7"/>
  <c r="H9" i="6"/>
  <c r="D8" i="7"/>
  <c r="H8" i="6"/>
  <c r="D7" i="7"/>
  <c r="H7" i="6"/>
  <c r="H11" i="4"/>
  <c r="H11" i="3"/>
  <c r="D5" i="7"/>
  <c r="H5" i="6"/>
  <c r="H8" i="3"/>
  <c r="H16"/>
  <c r="H29" s="1"/>
  <c r="H17"/>
  <c r="D6" i="8"/>
  <c r="D4"/>
  <c r="D24" i="14"/>
  <c r="H10" i="2"/>
  <c r="H28" s="1"/>
  <c r="H20" i="5"/>
  <c r="G23" i="2"/>
  <c r="C23"/>
  <c r="H4" i="7"/>
  <c r="F23" i="4"/>
  <c r="L23"/>
  <c r="L7" i="5"/>
  <c r="L3" i="11"/>
  <c r="J3" i="6"/>
  <c r="J6" i="5"/>
  <c r="J32" s="1"/>
  <c r="M4" i="4"/>
  <c r="F3" i="6"/>
  <c r="D7" i="8"/>
  <c r="H7" i="7"/>
  <c r="H8"/>
  <c r="D8" i="8"/>
  <c r="D9"/>
  <c r="H9" i="7"/>
  <c r="H10"/>
  <c r="D10" i="8"/>
  <c r="D11"/>
  <c r="H11" i="7"/>
  <c r="H12"/>
  <c r="D12" i="8"/>
  <c r="D13"/>
  <c r="H13" i="7"/>
  <c r="H14"/>
  <c r="D14" i="8"/>
  <c r="D15"/>
  <c r="H15" i="7"/>
  <c r="H16"/>
  <c r="H29" s="1"/>
  <c r="D16" i="8"/>
  <c r="D29" s="1"/>
  <c r="D17"/>
  <c r="H17" i="7"/>
  <c r="H18"/>
  <c r="D18" i="8"/>
  <c r="D19"/>
  <c r="H19" i="7"/>
  <c r="H20"/>
  <c r="D20" i="8"/>
  <c r="H3" i="4"/>
  <c r="H26"/>
  <c r="H4" i="8"/>
  <c r="D4" i="9"/>
  <c r="H4" s="1"/>
  <c r="H5" i="7"/>
  <c r="D5" i="8"/>
  <c r="H6"/>
  <c r="D6" i="9"/>
  <c r="H6" s="1"/>
  <c r="D22" i="3"/>
  <c r="D23" i="2"/>
  <c r="H22"/>
  <c r="H23"/>
  <c r="L3" i="10"/>
  <c r="L5" i="6"/>
  <c r="L25" i="5"/>
  <c r="J4" i="6"/>
  <c r="J30" s="1"/>
  <c r="J3" i="7"/>
  <c r="J25" i="5"/>
  <c r="F3" i="7"/>
  <c r="F26"/>
  <c r="D6" i="11"/>
  <c r="D6" i="10" s="1"/>
  <c r="D6" i="12" s="1"/>
  <c r="D6" i="13" s="1"/>
  <c r="D20" i="9"/>
  <c r="H20" i="8"/>
  <c r="D18" i="9"/>
  <c r="H18" i="8"/>
  <c r="D16" i="9"/>
  <c r="D29" s="1"/>
  <c r="H16" i="8"/>
  <c r="H29" s="1"/>
  <c r="D14" i="9"/>
  <c r="H14" i="8"/>
  <c r="D12" i="9"/>
  <c r="H12" i="8"/>
  <c r="D10" i="9"/>
  <c r="H10" i="8"/>
  <c r="D8" i="9"/>
  <c r="H8" i="8"/>
  <c r="H5" i="5"/>
  <c r="D3" i="6"/>
  <c r="D19" i="9"/>
  <c r="H19" s="1"/>
  <c r="H19" i="8"/>
  <c r="D17" i="9"/>
  <c r="H17" s="1"/>
  <c r="H17" i="8"/>
  <c r="D15" i="9"/>
  <c r="D15" i="11" s="1"/>
  <c r="H15" i="8"/>
  <c r="D13" i="9"/>
  <c r="H13" s="1"/>
  <c r="H13" i="8"/>
  <c r="D11" i="9"/>
  <c r="D11" i="11" s="1"/>
  <c r="H11" i="8"/>
  <c r="D9" i="9"/>
  <c r="H9" s="1"/>
  <c r="H9" i="8"/>
  <c r="D7" i="9"/>
  <c r="D7" i="11" s="1"/>
  <c r="H7" i="8"/>
  <c r="H5"/>
  <c r="D5" i="9"/>
  <c r="H5" s="1"/>
  <c r="D22" i="4"/>
  <c r="D22" i="6"/>
  <c r="D22" i="7"/>
  <c r="D22" i="8"/>
  <c r="D22" i="9"/>
  <c r="H22" i="3"/>
  <c r="H23"/>
  <c r="D23"/>
  <c r="L5" i="7"/>
  <c r="L23" i="6"/>
  <c r="L3" i="12"/>
  <c r="J3" i="8"/>
  <c r="J4" i="7"/>
  <c r="J30" s="1"/>
  <c r="M4" i="6"/>
  <c r="J23"/>
  <c r="F3" i="8"/>
  <c r="H7" i="9"/>
  <c r="D9" i="11"/>
  <c r="H11" i="9"/>
  <c r="D13" i="11"/>
  <c r="H15" i="9"/>
  <c r="D17" i="11"/>
  <c r="D19"/>
  <c r="D8"/>
  <c r="H8" i="9"/>
  <c r="D10" i="11"/>
  <c r="H10" i="9"/>
  <c r="D12" i="11"/>
  <c r="H12" i="9"/>
  <c r="H14"/>
  <c r="D14" i="11"/>
  <c r="D16"/>
  <c r="D29" s="1"/>
  <c r="H16" i="9"/>
  <c r="H29" s="1"/>
  <c r="D18" i="11"/>
  <c r="H18" i="9"/>
  <c r="D20" i="11"/>
  <c r="H20" i="9"/>
  <c r="D5" i="11"/>
  <c r="H3" i="6"/>
  <c r="D3" i="7"/>
  <c r="D26"/>
  <c r="D23" i="4"/>
  <c r="H22"/>
  <c r="H23"/>
  <c r="L5" i="8"/>
  <c r="L23" i="7"/>
  <c r="L3" i="13"/>
  <c r="J4" i="8"/>
  <c r="J30" s="1"/>
  <c r="J3" i="9"/>
  <c r="J23" i="8"/>
  <c r="J23" i="7"/>
  <c r="F3" i="9"/>
  <c r="D5" i="10"/>
  <c r="D5" i="12" s="1"/>
  <c r="D5" i="13" s="1"/>
  <c r="D20" i="10"/>
  <c r="D18"/>
  <c r="D16"/>
  <c r="D29" s="1"/>
  <c r="D12"/>
  <c r="D10"/>
  <c r="D8"/>
  <c r="D3" i="8"/>
  <c r="H3" i="7"/>
  <c r="H26"/>
  <c r="D14" i="10"/>
  <c r="D14" i="12" s="1"/>
  <c r="D19" i="10"/>
  <c r="D17"/>
  <c r="D13"/>
  <c r="D13" i="12" s="1"/>
  <c r="D13" i="13" s="1"/>
  <c r="D9" i="10"/>
  <c r="L5" i="9"/>
  <c r="L23" i="8"/>
  <c r="J3" i="11"/>
  <c r="J4" i="9"/>
  <c r="J30" s="1"/>
  <c r="M4" i="8"/>
  <c r="F3" i="11"/>
  <c r="D9" i="12"/>
  <c r="D17"/>
  <c r="D3" i="9"/>
  <c r="H3" i="8"/>
  <c r="D8" i="12"/>
  <c r="D10"/>
  <c r="D12"/>
  <c r="D12" i="13" s="1"/>
  <c r="D16" i="12"/>
  <c r="D29" s="1"/>
  <c r="D18"/>
  <c r="D18" i="13" s="1"/>
  <c r="D20" i="12"/>
  <c r="D19"/>
  <c r="D19" i="13" s="1"/>
  <c r="D22" i="11"/>
  <c r="L5"/>
  <c r="L23" i="9"/>
  <c r="J4" i="11"/>
  <c r="J30" s="1"/>
  <c r="M4" i="9"/>
  <c r="J23"/>
  <c r="J3" i="10"/>
  <c r="J23" i="11"/>
  <c r="D16" i="13"/>
  <c r="D29" s="1"/>
  <c r="D8"/>
  <c r="D3" i="11"/>
  <c r="D26" s="1"/>
  <c r="D20" i="13"/>
  <c r="D10"/>
  <c r="D17"/>
  <c r="D9"/>
  <c r="D22" i="10"/>
  <c r="L5"/>
  <c r="L23" i="11"/>
  <c r="J4" i="10"/>
  <c r="J30" s="1"/>
  <c r="J23"/>
  <c r="M4" i="11"/>
  <c r="J3" i="12"/>
  <c r="D3" i="10"/>
  <c r="D22" i="12"/>
  <c r="L5"/>
  <c r="L23" i="10"/>
  <c r="J3" i="13"/>
  <c r="J4" i="12"/>
  <c r="J30" s="1"/>
  <c r="M4" i="10"/>
  <c r="D22" i="13"/>
  <c r="L5"/>
  <c r="L23"/>
  <c r="L23" i="12"/>
  <c r="J4" i="13"/>
  <c r="J30" s="1"/>
  <c r="M4"/>
  <c r="M4" i="12"/>
  <c r="J23"/>
  <c r="J23" i="13"/>
  <c r="G23" i="3"/>
  <c r="D21" i="6"/>
  <c r="D25" i="5"/>
  <c r="F22" i="6"/>
  <c r="H24" i="5"/>
  <c r="F21" i="6"/>
  <c r="H23" i="5"/>
  <c r="H25"/>
  <c r="F25"/>
  <c r="F21" i="7"/>
  <c r="H21" i="6"/>
  <c r="F23"/>
  <c r="F22" i="7"/>
  <c r="H22" i="6"/>
  <c r="D21" i="7"/>
  <c r="D23" i="6"/>
  <c r="D21" i="8"/>
  <c r="D23" i="7"/>
  <c r="F22" i="8"/>
  <c r="H22" i="7"/>
  <c r="F21" i="8"/>
  <c r="H21" i="7"/>
  <c r="H23"/>
  <c r="F23"/>
  <c r="H23" i="6"/>
  <c r="F21" i="9"/>
  <c r="H21" i="8"/>
  <c r="F23"/>
  <c r="F22" i="9"/>
  <c r="H22" i="8"/>
  <c r="D21" i="9"/>
  <c r="D23" s="1"/>
  <c r="D23" i="8"/>
  <c r="D21" i="11"/>
  <c r="F22"/>
  <c r="H22" i="9"/>
  <c r="F21" i="11"/>
  <c r="F23" i="9"/>
  <c r="H23" i="8"/>
  <c r="F21" i="10"/>
  <c r="F21" i="12" s="1"/>
  <c r="F22" i="10"/>
  <c r="H22" i="11"/>
  <c r="D21" i="10"/>
  <c r="D21" i="12" s="1"/>
  <c r="D21" i="13" s="1"/>
  <c r="F22" i="12"/>
  <c r="H22" i="10"/>
  <c r="F22" i="13"/>
  <c r="H22"/>
  <c r="H22" i="12"/>
  <c r="G26" i="7"/>
  <c r="G26" i="4"/>
  <c r="G26" i="11"/>
  <c r="G26" i="13" l="1"/>
  <c r="G28" i="10"/>
  <c r="G30"/>
  <c r="G28" i="12"/>
  <c r="G28" i="13"/>
  <c r="G30"/>
  <c r="J30" i="3"/>
  <c r="G30" i="12"/>
  <c r="J30" i="2"/>
  <c r="F20" i="10"/>
  <c r="H20" i="11"/>
  <c r="F19" i="10"/>
  <c r="H19" i="11"/>
  <c r="F18" i="10"/>
  <c r="H18" s="1"/>
  <c r="H18" i="11"/>
  <c r="H21"/>
  <c r="F17" i="10"/>
  <c r="F17" i="12" s="1"/>
  <c r="H17" i="11"/>
  <c r="F16"/>
  <c r="F14" i="10"/>
  <c r="H14" i="11"/>
  <c r="F13" i="10"/>
  <c r="H13" i="11"/>
  <c r="F12" i="10"/>
  <c r="H12" i="11"/>
  <c r="F10" i="10"/>
  <c r="H10" i="11"/>
  <c r="F9" i="10"/>
  <c r="F9" i="12" s="1"/>
  <c r="H9" i="11"/>
  <c r="F8" i="10"/>
  <c r="H8" i="11"/>
  <c r="F26"/>
  <c r="D4"/>
  <c r="D4" i="10" s="1"/>
  <c r="D4" i="12" s="1"/>
  <c r="D4" i="13" s="1"/>
  <c r="F3" i="10"/>
  <c r="F3" i="12" s="1"/>
  <c r="F3" i="13" s="1"/>
  <c r="H3" i="9"/>
  <c r="D3" i="12"/>
  <c r="H3" i="11"/>
  <c r="H21" i="12"/>
  <c r="F21" i="13"/>
  <c r="F20" i="12"/>
  <c r="H20" i="10"/>
  <c r="F18" i="12"/>
  <c r="F18" i="13" s="1"/>
  <c r="F14" i="12"/>
  <c r="F14" i="13" s="1"/>
  <c r="H14" i="10"/>
  <c r="F12" i="12"/>
  <c r="F12" i="13" s="1"/>
  <c r="H12" i="10"/>
  <c r="F10" i="12"/>
  <c r="H10" i="10"/>
  <c r="F8" i="12"/>
  <c r="H8" i="10"/>
  <c r="F6"/>
  <c r="H6" i="11"/>
  <c r="F19" i="12"/>
  <c r="H19" i="10"/>
  <c r="F17" i="13"/>
  <c r="H17" i="12"/>
  <c r="F13"/>
  <c r="H13" i="10"/>
  <c r="H9" i="12"/>
  <c r="F9" i="13"/>
  <c r="H9" s="1"/>
  <c r="F5" i="10"/>
  <c r="H5" i="11"/>
  <c r="H21" i="13"/>
  <c r="H21" i="10"/>
  <c r="H18" i="13"/>
  <c r="H12"/>
  <c r="H9" i="10"/>
  <c r="H17"/>
  <c r="F4" i="11"/>
  <c r="F16" i="10"/>
  <c r="H17" i="13"/>
  <c r="D14"/>
  <c r="H14" s="1"/>
  <c r="H14" i="12"/>
  <c r="H7" i="11"/>
  <c r="D7" i="10"/>
  <c r="H11" i="11"/>
  <c r="D11" i="10"/>
  <c r="H15" i="11"/>
  <c r="D15" i="10"/>
  <c r="D23" i="11"/>
  <c r="H21" i="9"/>
  <c r="H23" s="1"/>
  <c r="H12" i="12"/>
  <c r="H18"/>
  <c r="G28" i="11"/>
  <c r="G28" i="9"/>
  <c r="G28" i="8"/>
  <c r="G28" i="7"/>
  <c r="G28" i="6"/>
  <c r="G30" i="5"/>
  <c r="G28" i="4"/>
  <c r="G28" i="3"/>
  <c r="J28" i="13"/>
  <c r="J28" i="12"/>
  <c r="J28" i="10"/>
  <c r="J28" i="11"/>
  <c r="J28" i="9"/>
  <c r="J28" i="8"/>
  <c r="J28" i="7"/>
  <c r="J28" i="6"/>
  <c r="J30" i="5"/>
  <c r="J28" i="4"/>
  <c r="J28" i="3"/>
  <c r="J28" i="2"/>
  <c r="H28" i="6"/>
  <c r="D28" i="7"/>
  <c r="H30" i="5"/>
  <c r="D28" i="11"/>
  <c r="D28" i="6"/>
  <c r="F28" i="12"/>
  <c r="F28" i="10"/>
  <c r="F28" i="11"/>
  <c r="F28" i="9"/>
  <c r="F28" i="8"/>
  <c r="F28" i="7"/>
  <c r="F28" i="6"/>
  <c r="F30" i="5"/>
  <c r="F28" i="4"/>
  <c r="F28" i="3"/>
  <c r="F28" i="2"/>
  <c r="H28" i="11"/>
  <c r="D28" i="10"/>
  <c r="H28" i="8"/>
  <c r="D28" i="9"/>
  <c r="D28" i="8"/>
  <c r="H28" i="7"/>
  <c r="H28" i="3"/>
  <c r="H28" i="4"/>
  <c r="G28" i="2"/>
  <c r="D30" i="5"/>
  <c r="D28" i="4"/>
  <c r="D28" i="3"/>
  <c r="D28" i="2"/>
  <c r="D30" i="12"/>
  <c r="D30" i="10"/>
  <c r="D30" i="11"/>
  <c r="G30"/>
  <c r="G30" i="9"/>
  <c r="H30"/>
  <c r="D30"/>
  <c r="H30" i="8"/>
  <c r="D30"/>
  <c r="G30"/>
  <c r="G30" i="7"/>
  <c r="D30" i="6"/>
  <c r="F30"/>
  <c r="H30" i="7"/>
  <c r="H30" i="6"/>
  <c r="D30" i="7"/>
  <c r="G30" i="6"/>
  <c r="H32" i="5"/>
  <c r="D32"/>
  <c r="F32"/>
  <c r="G32"/>
  <c r="G30" i="4"/>
  <c r="D30"/>
  <c r="D30" i="3"/>
  <c r="F30" i="4"/>
  <c r="F30" i="3"/>
  <c r="H30" i="4"/>
  <c r="G30" i="3"/>
  <c r="D30" i="2"/>
  <c r="F30"/>
  <c r="H30"/>
  <c r="G30"/>
  <c r="D30" i="13"/>
  <c r="F29" i="11" l="1"/>
  <c r="H16"/>
  <c r="H29" s="1"/>
  <c r="D23" i="10"/>
  <c r="H3"/>
  <c r="D3" i="13"/>
  <c r="H3" i="12"/>
  <c r="F29" i="10"/>
  <c r="F16" i="12"/>
  <c r="H16" i="10"/>
  <c r="H29" s="1"/>
  <c r="H5"/>
  <c r="F5" i="12"/>
  <c r="H13"/>
  <c r="F13" i="13"/>
  <c r="H13" s="1"/>
  <c r="H19" i="12"/>
  <c r="F19" i="13"/>
  <c r="H19" s="1"/>
  <c r="H6" i="10"/>
  <c r="F6" i="12"/>
  <c r="H8"/>
  <c r="F8" i="13"/>
  <c r="H8" s="1"/>
  <c r="F10"/>
  <c r="H10" i="12"/>
  <c r="H20"/>
  <c r="F20" i="13"/>
  <c r="H20" s="1"/>
  <c r="H28" i="9"/>
  <c r="F30" i="11"/>
  <c r="F4" i="10"/>
  <c r="H4" i="11"/>
  <c r="H30" s="1"/>
  <c r="F23"/>
  <c r="D15" i="12"/>
  <c r="H15" i="10"/>
  <c r="D11" i="12"/>
  <c r="H11" i="10"/>
  <c r="H28" s="1"/>
  <c r="D7" i="12"/>
  <c r="H7" i="10"/>
  <c r="H26" i="11"/>
  <c r="H3" i="13" l="1"/>
  <c r="H23" i="11"/>
  <c r="F6" i="13"/>
  <c r="H6" i="12"/>
  <c r="F5" i="13"/>
  <c r="H5" s="1"/>
  <c r="H5" i="12"/>
  <c r="F30" i="10"/>
  <c r="F4" i="12"/>
  <c r="H4" i="10"/>
  <c r="H30" s="1"/>
  <c r="F23"/>
  <c r="H10" i="13"/>
  <c r="F28"/>
  <c r="F29" i="12"/>
  <c r="H16"/>
  <c r="H29" s="1"/>
  <c r="F16" i="13"/>
  <c r="D15"/>
  <c r="H15" s="1"/>
  <c r="H15" i="12"/>
  <c r="D7" i="13"/>
  <c r="D26" s="1"/>
  <c r="H7" i="12"/>
  <c r="D23"/>
  <c r="D11" i="13"/>
  <c r="H11" i="12"/>
  <c r="H28" s="1"/>
  <c r="D28"/>
  <c r="H6" i="13" l="1"/>
  <c r="F26"/>
  <c r="H23" i="10"/>
  <c r="F29" i="13"/>
  <c r="H16"/>
  <c r="H29" s="1"/>
  <c r="F30" i="12"/>
  <c r="F4" i="13"/>
  <c r="H4" i="12"/>
  <c r="H30" s="1"/>
  <c r="F23"/>
  <c r="H23"/>
  <c r="H11" i="13"/>
  <c r="H28" s="1"/>
  <c r="D28"/>
  <c r="H7"/>
  <c r="H26" s="1"/>
  <c r="D23"/>
  <c r="F30" l="1"/>
  <c r="H4"/>
  <c r="H30" s="1"/>
  <c r="F23"/>
  <c r="H23" l="1"/>
</calcChain>
</file>

<file path=xl/sharedStrings.xml><?xml version="1.0" encoding="utf-8"?>
<sst xmlns="http://schemas.openxmlformats.org/spreadsheetml/2006/main" count="243" uniqueCount="45">
  <si>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</si>
  <si>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</si>
  <si>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</si>
  <si>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</si>
  <si>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</si>
  <si>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</si>
  <si>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</si>
  <si>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</si>
  <si>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</si>
  <si>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</si>
  <si>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</si>
  <si>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</si>
  <si>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</si>
  <si>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</si>
  <si>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</si>
  <si>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</si>
  <si>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Холодная вода</t>
  </si>
  <si>
    <t>ул Есенина д.36 к.3</t>
  </si>
  <si>
    <t>ЕСЕНИНА д.36 к.3</t>
  </si>
  <si>
    <t>Есенина 36 к.3</t>
  </si>
  <si>
    <t>Содержание общ.имущ.дома</t>
  </si>
  <si>
    <t>Сод.и ремонт АППЗ</t>
  </si>
  <si>
    <t>Сод.и ремонт лифтов</t>
  </si>
  <si>
    <t>Очистка мусоропроводов</t>
  </si>
  <si>
    <t>Уборка и сан.очистка зем.уч.</t>
  </si>
  <si>
    <t>Канализир.х.воды</t>
  </si>
  <si>
    <t>Канализир.г.воды</t>
  </si>
  <si>
    <t>Тек.рем.общ.имущ.дома</t>
  </si>
  <si>
    <t>Управление многокв.домом</t>
  </si>
  <si>
    <t>Водоотведение(кв)</t>
  </si>
  <si>
    <t>Электроснабж.на общед.нужды</t>
  </si>
  <si>
    <t>Эксплуатация общедом.ПУ</t>
  </si>
  <si>
    <t>Водоотведение(о/д нужды)</t>
  </si>
  <si>
    <t>Отопление (о/д нужды)</t>
  </si>
  <si>
    <t>Гор.водоснабж.(о/д нужды)</t>
  </si>
  <si>
    <t>Форма 22</t>
  </si>
  <si>
    <t>водоканал</t>
  </si>
  <si>
    <t>ПСК</t>
  </si>
  <si>
    <t>ГУПТЭК</t>
  </si>
  <si>
    <t>Холодн водосн о/д нужды</t>
  </si>
  <si>
    <t xml:space="preserve">Есенина 36 к.3 </t>
  </si>
  <si>
    <t xml:space="preserve"> сентябрь</t>
  </si>
  <si>
    <t>Есенина 36 к.3  Октябрь 2017г.</t>
  </si>
  <si>
    <t>Есенина 36 к.3  Ноябрь 2017г.</t>
  </si>
  <si>
    <t>Есенина 36 к.3 Декабрь 2017г.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</si>
</sst>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_ ;[Red]\-0.00\ "/>
  </numFmts>
  <fonts count="7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7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wrapText="1" shrinkToFit="1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0" fillId="0" borderId="0" xfId="0" applyNumberFormat="1"/>
    <xf numFmtId="2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0" xfId="0" applyAlignment="1">
      <alignment wrapText="1"/>
    </xf>
    <xf numFmtId="2" fontId="3" fillId="2" borderId="1" xfId="0" applyNumberFormat="1" applyFont="1" applyFill="1" applyBorder="1" applyAlignment="1">
      <alignment horizontal="left" wrapText="1" shrinkToFit="1"/>
    </xf>
    <xf numFmtId="0" fontId="3" fillId="2" borderId="0" xfId="0" applyFont="1" applyFill="1" applyAlignment="1">
      <alignment horizontal="left" wrapText="1" shrinkToFit="1"/>
    </xf>
    <xf numFmtId="2" fontId="3" fillId="2" borderId="1" xfId="0" applyNumberFormat="1" applyFont="1" applyFill="1" applyBorder="1" applyAlignment="1">
      <alignment horizontal="center" wrapText="1" shrinkToFit="1"/>
    </xf>
    <xf numFmtId="2" fontId="2" fillId="2" borderId="1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left" wrapText="1" shrinkToFit="1"/>
    </xf>
    <xf numFmtId="0" fontId="5" fillId="0" borderId="0" xfId="0" applyFont="1"/>
    <xf numFmtId="164" fontId="0" fillId="4" borderId="0" xfId="0" applyNumberFormat="1" applyFill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1" applyFont="1"/>
    <xf numFmtId="43" fontId="1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C22" sqref="C22"/>
    </sheetView>
  </sheetViews>
  <sheetFormatPr defaultRowHeight="12.75"/>
  <cols>
    <col min="1" max="1" width="3.28515625" customWidth="1"/>
    <col min="2" max="2" width="27.42578125" customWidth="1"/>
    <col min="3" max="3" width="10.5703125" customWidth="1"/>
    <col min="4" max="4" width="10" customWidth="1"/>
    <col min="5" max="5" width="10.28515625" customWidth="1"/>
    <col min="6" max="6" width="11" customWidth="1"/>
    <col min="7" max="7" width="11.28515625" customWidth="1"/>
    <col min="8" max="8" width="11.140625" customWidth="1"/>
    <col min="9" max="9" width="11.28515625" customWidth="1"/>
    <col min="10" max="10" width="11.42578125" customWidth="1"/>
    <col min="11" max="11" width="10.140625" bestFit="1" customWidth="1"/>
    <col min="12" max="12" width="10.5703125" customWidth="1"/>
    <col min="13" max="13" width="11.85546875" customWidth="1"/>
  </cols>
  <sheetData>
    <row r="1" spans="1:13">
      <c r="E1" s="11"/>
      <c r="F1" s="12" t="s">
        <v>17</v>
      </c>
      <c r="G1" s="12"/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">
        <v>20</v>
      </c>
      <c r="C3" s="8">
        <v>71093.66</v>
      </c>
      <c r="D3" s="18">
        <f>C3</f>
        <v>71093.66</v>
      </c>
      <c r="E3" s="9">
        <v>66707.98</v>
      </c>
      <c r="F3" s="18">
        <f>E3</f>
        <v>66707.98</v>
      </c>
      <c r="G3" s="18">
        <f>E3-C3</f>
        <v>-4385.6800000000076</v>
      </c>
      <c r="H3" s="19">
        <f>F3-D3</f>
        <v>-4385.6800000000076</v>
      </c>
      <c r="I3" s="9"/>
      <c r="J3" s="19">
        <f>I3</f>
        <v>0</v>
      </c>
      <c r="K3" s="8"/>
      <c r="L3" s="18">
        <f>K3</f>
        <v>0</v>
      </c>
    </row>
    <row r="4" spans="1:13">
      <c r="A4" s="1">
        <f>A3+1</f>
        <v>2</v>
      </c>
      <c r="B4" s="34" t="s">
        <v>13</v>
      </c>
      <c r="C4" s="8">
        <v>364959.12</v>
      </c>
      <c r="D4" s="18">
        <f t="shared" ref="D4:D22" si="0">C4</f>
        <v>364959.12</v>
      </c>
      <c r="E4" s="9">
        <v>240647.4</v>
      </c>
      <c r="F4" s="18">
        <f t="shared" ref="F4:F22" si="1">E4</f>
        <v>240647.4</v>
      </c>
      <c r="G4" s="18">
        <f t="shared" ref="G4:G22" si="2">E4-C4</f>
        <v>-124311.72</v>
      </c>
      <c r="H4" s="19">
        <f t="shared" ref="H4:H22" si="3">F4-D4</f>
        <v>-124311.72</v>
      </c>
      <c r="I4" s="9"/>
      <c r="J4" s="19">
        <f t="shared" ref="J4:J22" si="4">I4</f>
        <v>0</v>
      </c>
      <c r="K4" s="8"/>
      <c r="L4" s="18">
        <f t="shared" ref="L4:L22" si="5">K4</f>
        <v>0</v>
      </c>
      <c r="M4" s="24">
        <f>L4-J4</f>
        <v>0</v>
      </c>
    </row>
    <row r="5" spans="1:13">
      <c r="A5" s="1">
        <f t="shared" ref="A5:A22" si="6">A4+1</f>
        <v>3</v>
      </c>
      <c r="B5" s="34" t="s">
        <v>15</v>
      </c>
      <c r="C5" s="8">
        <v>154220.67000000001</v>
      </c>
      <c r="D5" s="18">
        <f t="shared" si="0"/>
        <v>154220.67000000001</v>
      </c>
      <c r="E5" s="9">
        <v>134517.63</v>
      </c>
      <c r="F5" s="18">
        <f t="shared" si="1"/>
        <v>134517.63</v>
      </c>
      <c r="G5" s="18">
        <f t="shared" si="2"/>
        <v>-19703.040000000008</v>
      </c>
      <c r="H5" s="19">
        <f t="shared" si="3"/>
        <v>-19703.040000000008</v>
      </c>
      <c r="I5" s="9"/>
      <c r="J5" s="19">
        <f t="shared" si="4"/>
        <v>0</v>
      </c>
      <c r="K5" s="8"/>
      <c r="L5" s="18">
        <f t="shared" si="5"/>
        <v>0</v>
      </c>
    </row>
    <row r="6" spans="1:13">
      <c r="A6" s="1">
        <f t="shared" si="6"/>
        <v>4</v>
      </c>
      <c r="B6" s="34" t="s">
        <v>21</v>
      </c>
      <c r="C6" s="8">
        <v>2823.22</v>
      </c>
      <c r="D6" s="18">
        <f t="shared" si="0"/>
        <v>2823.22</v>
      </c>
      <c r="E6" s="9">
        <v>2723.02</v>
      </c>
      <c r="F6" s="18">
        <f t="shared" si="1"/>
        <v>2723.02</v>
      </c>
      <c r="G6" s="18">
        <f t="shared" si="2"/>
        <v>-100.19999999999982</v>
      </c>
      <c r="H6" s="19">
        <f t="shared" si="3"/>
        <v>-100.19999999999982</v>
      </c>
      <c r="I6" s="9"/>
      <c r="J6" s="19">
        <f t="shared" si="4"/>
        <v>0</v>
      </c>
      <c r="K6" s="8"/>
      <c r="L6" s="18">
        <f t="shared" si="5"/>
        <v>0</v>
      </c>
    </row>
    <row r="7" spans="1:13">
      <c r="A7" s="1">
        <f t="shared" si="6"/>
        <v>5</v>
      </c>
      <c r="B7" s="35" t="s">
        <v>22</v>
      </c>
      <c r="C7" s="8">
        <v>26851.21</v>
      </c>
      <c r="D7" s="18">
        <f t="shared" si="0"/>
        <v>26851.21</v>
      </c>
      <c r="E7" s="9">
        <v>25704.94</v>
      </c>
      <c r="F7" s="18">
        <f t="shared" si="1"/>
        <v>25704.94</v>
      </c>
      <c r="G7" s="18">
        <f t="shared" si="2"/>
        <v>-1146.2700000000004</v>
      </c>
      <c r="H7" s="19">
        <f t="shared" si="3"/>
        <v>-1146.2700000000004</v>
      </c>
      <c r="I7" s="9"/>
      <c r="J7" s="19">
        <f t="shared" si="4"/>
        <v>0</v>
      </c>
      <c r="K7" s="8"/>
      <c r="L7" s="18">
        <f t="shared" si="5"/>
        <v>0</v>
      </c>
    </row>
    <row r="8" spans="1:13">
      <c r="A8" s="1">
        <f t="shared" si="6"/>
        <v>6</v>
      </c>
      <c r="B8" s="34" t="s">
        <v>23</v>
      </c>
      <c r="C8" s="8">
        <v>8420.41</v>
      </c>
      <c r="D8" s="18">
        <f t="shared" si="0"/>
        <v>8420.41</v>
      </c>
      <c r="E8" s="9">
        <v>8333.9</v>
      </c>
      <c r="F8" s="18">
        <f t="shared" si="1"/>
        <v>8333.9</v>
      </c>
      <c r="G8" s="18">
        <f t="shared" si="2"/>
        <v>-86.510000000000218</v>
      </c>
      <c r="H8" s="19">
        <f t="shared" si="3"/>
        <v>-86.510000000000218</v>
      </c>
      <c r="I8" s="9"/>
      <c r="J8" s="19">
        <f t="shared" si="4"/>
        <v>0</v>
      </c>
      <c r="K8" s="8"/>
      <c r="L8" s="18">
        <f t="shared" si="5"/>
        <v>0</v>
      </c>
    </row>
    <row r="9" spans="1:13">
      <c r="A9" s="1">
        <f t="shared" si="6"/>
        <v>7</v>
      </c>
      <c r="B9" s="34" t="s">
        <v>24</v>
      </c>
      <c r="C9" s="8">
        <v>9752.86</v>
      </c>
      <c r="D9" s="18">
        <f t="shared" si="0"/>
        <v>9752.86</v>
      </c>
      <c r="E9" s="9">
        <v>9362.34</v>
      </c>
      <c r="F9" s="18">
        <f t="shared" si="1"/>
        <v>9362.34</v>
      </c>
      <c r="G9" s="18">
        <f t="shared" si="2"/>
        <v>-390.52000000000044</v>
      </c>
      <c r="H9" s="19">
        <f t="shared" si="3"/>
        <v>-390.52000000000044</v>
      </c>
      <c r="I9" s="9"/>
      <c r="J9" s="19">
        <f t="shared" si="4"/>
        <v>0</v>
      </c>
      <c r="K9" s="8"/>
      <c r="L9" s="18">
        <f t="shared" si="5"/>
        <v>0</v>
      </c>
    </row>
    <row r="10" spans="1:13">
      <c r="A10" s="1">
        <f t="shared" si="6"/>
        <v>8</v>
      </c>
      <c r="B10" s="34" t="s">
        <v>16</v>
      </c>
      <c r="C10" s="8">
        <v>56212.01</v>
      </c>
      <c r="D10" s="18">
        <f t="shared" si="0"/>
        <v>56212.01</v>
      </c>
      <c r="E10" s="9">
        <v>48189.78</v>
      </c>
      <c r="F10" s="18">
        <f t="shared" si="1"/>
        <v>48189.78</v>
      </c>
      <c r="G10" s="18">
        <f t="shared" si="2"/>
        <v>-8022.2300000000032</v>
      </c>
      <c r="H10" s="19">
        <f t="shared" si="3"/>
        <v>-8022.2300000000032</v>
      </c>
      <c r="I10" s="9"/>
      <c r="J10" s="19">
        <f t="shared" si="4"/>
        <v>0</v>
      </c>
      <c r="K10" s="8"/>
      <c r="L10" s="18">
        <f t="shared" si="5"/>
        <v>0</v>
      </c>
    </row>
    <row r="11" spans="1:13">
      <c r="A11" s="1">
        <f t="shared" si="6"/>
        <v>9</v>
      </c>
      <c r="B11" s="34" t="s">
        <v>25</v>
      </c>
      <c r="C11" s="8">
        <v>0</v>
      </c>
      <c r="D11" s="18">
        <f t="shared" si="0"/>
        <v>0</v>
      </c>
      <c r="E11" s="9">
        <v>38.409999999999997</v>
      </c>
      <c r="F11" s="18">
        <f t="shared" si="1"/>
        <v>38.409999999999997</v>
      </c>
      <c r="G11" s="18">
        <f t="shared" si="2"/>
        <v>38.409999999999997</v>
      </c>
      <c r="H11" s="19">
        <f t="shared" si="3"/>
        <v>38.409999999999997</v>
      </c>
      <c r="I11" s="9"/>
      <c r="J11" s="19">
        <f t="shared" si="4"/>
        <v>0</v>
      </c>
      <c r="K11" s="8"/>
      <c r="L11" s="18">
        <f t="shared" si="5"/>
        <v>0</v>
      </c>
      <c r="M11" s="24">
        <f>L11-(J11+J12)</f>
        <v>0</v>
      </c>
    </row>
    <row r="12" spans="1:13">
      <c r="A12" s="1">
        <f t="shared" si="6"/>
        <v>10</v>
      </c>
      <c r="B12" s="34" t="s">
        <v>26</v>
      </c>
      <c r="C12" s="8">
        <v>0</v>
      </c>
      <c r="D12" s="18">
        <f t="shared" si="0"/>
        <v>0</v>
      </c>
      <c r="E12" s="9">
        <v>26.18</v>
      </c>
      <c r="F12" s="18">
        <f t="shared" si="1"/>
        <v>26.18</v>
      </c>
      <c r="G12" s="18">
        <f t="shared" si="2"/>
        <v>26.18</v>
      </c>
      <c r="H12" s="19">
        <f t="shared" si="3"/>
        <v>26.18</v>
      </c>
      <c r="I12" s="9"/>
      <c r="J12" s="19">
        <f t="shared" si="4"/>
        <v>0</v>
      </c>
      <c r="K12" s="8"/>
      <c r="L12" s="18">
        <f t="shared" si="5"/>
        <v>0</v>
      </c>
    </row>
    <row r="13" spans="1:13">
      <c r="A13" s="1">
        <f t="shared" si="6"/>
        <v>11</v>
      </c>
      <c r="B13" s="34" t="s">
        <v>27</v>
      </c>
      <c r="C13" s="8">
        <v>37471.71</v>
      </c>
      <c r="D13" s="18">
        <f t="shared" si="0"/>
        <v>37471.71</v>
      </c>
      <c r="E13" s="9">
        <v>38455.83</v>
      </c>
      <c r="F13" s="18">
        <f t="shared" si="1"/>
        <v>38455.83</v>
      </c>
      <c r="G13" s="18">
        <f t="shared" si="2"/>
        <v>984.12000000000262</v>
      </c>
      <c r="H13" s="19">
        <f t="shared" si="3"/>
        <v>984.12000000000262</v>
      </c>
      <c r="I13" s="9"/>
      <c r="J13" s="19">
        <f t="shared" si="4"/>
        <v>0</v>
      </c>
      <c r="K13" s="8"/>
      <c r="L13" s="18">
        <f t="shared" si="5"/>
        <v>0</v>
      </c>
    </row>
    <row r="14" spans="1:13">
      <c r="A14" s="1">
        <f t="shared" si="6"/>
        <v>12</v>
      </c>
      <c r="B14" s="34" t="s">
        <v>28</v>
      </c>
      <c r="C14" s="8">
        <v>14693.53</v>
      </c>
      <c r="D14" s="18">
        <f t="shared" si="0"/>
        <v>14693.53</v>
      </c>
      <c r="E14" s="9">
        <v>13541.92</v>
      </c>
      <c r="F14" s="18">
        <f t="shared" si="1"/>
        <v>13541.92</v>
      </c>
      <c r="G14" s="18">
        <f t="shared" si="2"/>
        <v>-1151.6100000000006</v>
      </c>
      <c r="H14" s="19">
        <f t="shared" si="3"/>
        <v>-1151.6100000000006</v>
      </c>
      <c r="I14" s="9"/>
      <c r="J14" s="19">
        <f t="shared" si="4"/>
        <v>0</v>
      </c>
      <c r="K14" s="8"/>
      <c r="L14" s="18">
        <f t="shared" si="5"/>
        <v>0</v>
      </c>
    </row>
    <row r="15" spans="1:13">
      <c r="A15" s="1">
        <f t="shared" si="6"/>
        <v>13</v>
      </c>
      <c r="B15" s="34" t="s">
        <v>29</v>
      </c>
      <c r="C15" s="8">
        <v>96375.76</v>
      </c>
      <c r="D15" s="18">
        <f t="shared" si="0"/>
        <v>96375.76</v>
      </c>
      <c r="E15" s="9">
        <v>84127.87</v>
      </c>
      <c r="F15" s="18">
        <f t="shared" si="1"/>
        <v>84127.87</v>
      </c>
      <c r="G15" s="18">
        <f t="shared" si="2"/>
        <v>-12247.89</v>
      </c>
      <c r="H15" s="19">
        <f t="shared" si="3"/>
        <v>-12247.89</v>
      </c>
      <c r="I15" s="9"/>
      <c r="J15" s="19">
        <f t="shared" si="4"/>
        <v>0</v>
      </c>
      <c r="K15" s="8"/>
      <c r="L15" s="18">
        <f t="shared" si="5"/>
        <v>0</v>
      </c>
    </row>
    <row r="16" spans="1:13" ht="15" customHeight="1">
      <c r="A16" s="1">
        <f t="shared" si="6"/>
        <v>14</v>
      </c>
      <c r="B16" s="34" t="s">
        <v>30</v>
      </c>
      <c r="C16" s="8">
        <v>6990.66</v>
      </c>
      <c r="D16" s="18">
        <f t="shared" si="0"/>
        <v>6990.66</v>
      </c>
      <c r="E16" s="9">
        <v>6861.22</v>
      </c>
      <c r="F16" s="18">
        <f t="shared" si="1"/>
        <v>6861.22</v>
      </c>
      <c r="G16" s="18">
        <f t="shared" si="2"/>
        <v>-129.4399999999996</v>
      </c>
      <c r="H16" s="19">
        <f t="shared" si="3"/>
        <v>-129.4399999999996</v>
      </c>
      <c r="I16" s="9"/>
      <c r="J16" s="19">
        <f t="shared" si="4"/>
        <v>0</v>
      </c>
      <c r="K16" s="8"/>
      <c r="L16" s="18">
        <f t="shared" si="5"/>
        <v>0</v>
      </c>
    </row>
    <row r="17" spans="1:12">
      <c r="A17" s="1">
        <f t="shared" si="6"/>
        <v>15</v>
      </c>
      <c r="B17" s="34" t="s">
        <v>31</v>
      </c>
      <c r="C17" s="8">
        <v>3978.16</v>
      </c>
      <c r="D17" s="18">
        <f t="shared" si="0"/>
        <v>3978.16</v>
      </c>
      <c r="E17" s="9">
        <v>3914.44</v>
      </c>
      <c r="F17" s="18">
        <f t="shared" si="1"/>
        <v>3914.44</v>
      </c>
      <c r="G17" s="18">
        <f t="shared" si="2"/>
        <v>-63.7199999999998</v>
      </c>
      <c r="H17" s="19">
        <f t="shared" si="3"/>
        <v>-63.7199999999998</v>
      </c>
      <c r="I17" s="9"/>
      <c r="J17" s="19">
        <f t="shared" si="4"/>
        <v>0</v>
      </c>
      <c r="K17" s="8"/>
      <c r="L17" s="18">
        <f t="shared" si="5"/>
        <v>0</v>
      </c>
    </row>
    <row r="18" spans="1:12">
      <c r="A18" s="1">
        <f t="shared" si="6"/>
        <v>16</v>
      </c>
      <c r="B18" s="36" t="s">
        <v>32</v>
      </c>
      <c r="C18" s="8">
        <v>0</v>
      </c>
      <c r="D18" s="18">
        <f t="shared" si="0"/>
        <v>0</v>
      </c>
      <c r="E18" s="9">
        <v>3.19</v>
      </c>
      <c r="F18" s="18">
        <f t="shared" si="1"/>
        <v>3.19</v>
      </c>
      <c r="G18" s="18">
        <f t="shared" si="2"/>
        <v>3.19</v>
      </c>
      <c r="H18" s="19">
        <f t="shared" si="3"/>
        <v>3.19</v>
      </c>
      <c r="I18" s="9"/>
      <c r="J18" s="19">
        <f t="shared" si="4"/>
        <v>0</v>
      </c>
      <c r="K18" s="8"/>
      <c r="L18" s="18">
        <f t="shared" si="5"/>
        <v>0</v>
      </c>
    </row>
    <row r="19" spans="1:12">
      <c r="A19" s="1">
        <f t="shared" si="6"/>
        <v>17</v>
      </c>
      <c r="B19" s="36" t="s">
        <v>33</v>
      </c>
      <c r="C19" s="8">
        <v>0</v>
      </c>
      <c r="D19" s="18">
        <f t="shared" si="0"/>
        <v>0</v>
      </c>
      <c r="E19" s="9">
        <v>42.2</v>
      </c>
      <c r="F19" s="18">
        <f t="shared" si="1"/>
        <v>42.2</v>
      </c>
      <c r="G19" s="18">
        <f t="shared" si="2"/>
        <v>42.2</v>
      </c>
      <c r="H19" s="19">
        <f t="shared" si="3"/>
        <v>42.2</v>
      </c>
      <c r="I19" s="9"/>
      <c r="J19" s="19">
        <f t="shared" si="4"/>
        <v>0</v>
      </c>
      <c r="K19" s="8"/>
      <c r="L19" s="18">
        <f t="shared" si="5"/>
        <v>0</v>
      </c>
    </row>
    <row r="20" spans="1:12">
      <c r="A20" s="1">
        <f t="shared" si="6"/>
        <v>18</v>
      </c>
      <c r="B20" s="36" t="s">
        <v>34</v>
      </c>
      <c r="C20" s="8">
        <v>6266.03</v>
      </c>
      <c r="D20" s="18">
        <f t="shared" si="0"/>
        <v>6266.03</v>
      </c>
      <c r="E20" s="9">
        <v>5691.63</v>
      </c>
      <c r="F20" s="18">
        <f t="shared" si="1"/>
        <v>5691.63</v>
      </c>
      <c r="G20" s="18">
        <f t="shared" si="2"/>
        <v>-574.39999999999964</v>
      </c>
      <c r="H20" s="19">
        <f t="shared" si="3"/>
        <v>-574.39999999999964</v>
      </c>
      <c r="I20" s="9"/>
      <c r="J20" s="19">
        <f t="shared" si="4"/>
        <v>0</v>
      </c>
      <c r="K20" s="8"/>
      <c r="L20" s="18">
        <f t="shared" si="5"/>
        <v>0</v>
      </c>
    </row>
    <row r="21" spans="1:12" ht="15" customHeight="1">
      <c r="A21" s="1">
        <f t="shared" si="6"/>
        <v>19</v>
      </c>
      <c r="B21" s="36" t="s">
        <v>39</v>
      </c>
      <c r="C21" s="8">
        <v>2708.94</v>
      </c>
      <c r="D21" s="18">
        <f t="shared" si="0"/>
        <v>2708.94</v>
      </c>
      <c r="E21" s="9">
        <v>710.38</v>
      </c>
      <c r="F21" s="18">
        <f t="shared" si="1"/>
        <v>710.38</v>
      </c>
      <c r="G21" s="18">
        <f t="shared" si="2"/>
        <v>-1998.56</v>
      </c>
      <c r="H21" s="19">
        <f t="shared" si="3"/>
        <v>-1998.56</v>
      </c>
      <c r="I21" s="9"/>
      <c r="J21" s="19">
        <f t="shared" si="4"/>
        <v>0</v>
      </c>
      <c r="K21" s="8"/>
      <c r="L21" s="18">
        <f t="shared" si="5"/>
        <v>0</v>
      </c>
    </row>
    <row r="22" spans="1:12">
      <c r="A22" s="1">
        <f t="shared" si="6"/>
        <v>20</v>
      </c>
      <c r="B22" s="34"/>
      <c r="C22" s="8"/>
      <c r="D22" s="18">
        <f t="shared" si="0"/>
        <v>0</v>
      </c>
      <c r="E22" s="9">
        <v>0</v>
      </c>
      <c r="F22" s="18">
        <f t="shared" si="1"/>
        <v>0</v>
      </c>
      <c r="G22" s="18">
        <f t="shared" si="2"/>
        <v>0</v>
      </c>
      <c r="H22" s="19">
        <f t="shared" si="3"/>
        <v>0</v>
      </c>
      <c r="I22" s="9"/>
      <c r="J22" s="19">
        <f t="shared" si="4"/>
        <v>0</v>
      </c>
      <c r="K22" s="8"/>
      <c r="L22" s="18">
        <f t="shared" si="5"/>
        <v>0</v>
      </c>
    </row>
    <row r="23" spans="1:12">
      <c r="A23" s="21"/>
      <c r="B23" s="25" t="s">
        <v>12</v>
      </c>
      <c r="C23" s="22">
        <f t="shared" ref="C23:L23" si="7">SUM(C3:C22)</f>
        <v>862817.95000000007</v>
      </c>
      <c r="D23" s="22">
        <f t="shared" si="7"/>
        <v>862817.95000000007</v>
      </c>
      <c r="E23" s="23">
        <f t="shared" si="7"/>
        <v>689600.26</v>
      </c>
      <c r="F23" s="22">
        <f t="shared" si="7"/>
        <v>689600.26</v>
      </c>
      <c r="G23" s="22">
        <f t="shared" si="7"/>
        <v>-173217.69</v>
      </c>
      <c r="H23" s="23">
        <f t="shared" si="7"/>
        <v>-173217.69</v>
      </c>
      <c r="I23" s="23">
        <f t="shared" si="7"/>
        <v>0</v>
      </c>
      <c r="J23" s="23">
        <f t="shared" si="7"/>
        <v>0</v>
      </c>
      <c r="K23" s="22">
        <f t="shared" si="7"/>
        <v>0</v>
      </c>
      <c r="L23" s="22">
        <f t="shared" si="7"/>
        <v>0</v>
      </c>
    </row>
    <row r="25" spans="1:12" ht="1.5" customHeight="1"/>
    <row r="26" spans="1:12" hidden="1"/>
    <row r="27" spans="1:12" hidden="1"/>
    <row r="28" spans="1:12">
      <c r="B28" s="39" t="s">
        <v>36</v>
      </c>
      <c r="C28" s="40">
        <f>C10+C11+C12+C15+C18+C21</f>
        <v>155296.71</v>
      </c>
      <c r="D28" s="40">
        <f t="shared" ref="D28:J28" si="8">D10+D11+D12+D15+D18+D21</f>
        <v>155296.71</v>
      </c>
      <c r="E28" s="40">
        <f t="shared" si="8"/>
        <v>133095.81</v>
      </c>
      <c r="F28" s="40">
        <f t="shared" si="8"/>
        <v>133095.81</v>
      </c>
      <c r="G28" s="40">
        <f t="shared" si="8"/>
        <v>-22200.900000000005</v>
      </c>
      <c r="H28" s="40">
        <f t="shared" si="8"/>
        <v>-22200.900000000005</v>
      </c>
      <c r="I28" s="40">
        <f t="shared" si="8"/>
        <v>0</v>
      </c>
      <c r="J28" s="40">
        <f t="shared" si="8"/>
        <v>0</v>
      </c>
    </row>
    <row r="29" spans="1:12">
      <c r="B29" s="39" t="s">
        <v>37</v>
      </c>
      <c r="C29" s="40">
        <f>C16</f>
        <v>6990.66</v>
      </c>
      <c r="D29" s="40">
        <f t="shared" ref="D29:J29" si="9">D16</f>
        <v>6990.66</v>
      </c>
      <c r="E29" s="40">
        <f t="shared" si="9"/>
        <v>6861.22</v>
      </c>
      <c r="F29" s="40">
        <f t="shared" si="9"/>
        <v>6861.22</v>
      </c>
      <c r="G29" s="40">
        <f t="shared" si="9"/>
        <v>-129.4399999999996</v>
      </c>
      <c r="H29" s="40">
        <f t="shared" si="9"/>
        <v>-129.4399999999996</v>
      </c>
      <c r="I29" s="40">
        <f t="shared" si="9"/>
        <v>0</v>
      </c>
      <c r="J29" s="40">
        <f t="shared" si="9"/>
        <v>0</v>
      </c>
    </row>
    <row r="30" spans="1:12">
      <c r="B30" s="39" t="s">
        <v>38</v>
      </c>
      <c r="C30" s="40">
        <f>C4+C5+C19+C20</f>
        <v>525445.82000000007</v>
      </c>
      <c r="D30" s="40">
        <f t="shared" ref="D30:J30" si="10">D4+D5+D19+D20</f>
        <v>525445.82000000007</v>
      </c>
      <c r="E30" s="40">
        <f t="shared" si="10"/>
        <v>380898.86000000004</v>
      </c>
      <c r="F30" s="40">
        <f t="shared" si="10"/>
        <v>380898.86000000004</v>
      </c>
      <c r="G30" s="40">
        <f t="shared" si="10"/>
        <v>-144546.96</v>
      </c>
      <c r="H30" s="40">
        <f t="shared" si="10"/>
        <v>-144546.96</v>
      </c>
      <c r="I30" s="40">
        <f t="shared" si="10"/>
        <v>0</v>
      </c>
      <c r="J30" s="40">
        <f t="shared" si="10"/>
        <v>0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11" sqref="C11:C12"/>
    </sheetView>
  </sheetViews>
  <sheetFormatPr defaultRowHeight="12.75"/>
  <cols>
    <col min="1" max="1" width="3.140625" customWidth="1"/>
    <col min="2" max="2" width="28.140625" customWidth="1"/>
    <col min="3" max="3" width="10.140625" bestFit="1" customWidth="1"/>
    <col min="4" max="4" width="13.7109375" customWidth="1"/>
    <col min="5" max="5" width="11.28515625" customWidth="1"/>
    <col min="6" max="6" width="12.42578125" customWidth="1"/>
    <col min="7" max="7" width="10.42578125" customWidth="1"/>
    <col min="8" max="8" width="12.42578125" customWidth="1"/>
    <col min="9" max="9" width="10.140625" bestFit="1" customWidth="1"/>
    <col min="10" max="10" width="12.42578125" customWidth="1"/>
    <col min="11" max="11" width="9.28515625" bestFit="1" customWidth="1"/>
    <col min="12" max="12" width="11.85546875" customWidth="1"/>
    <col min="13" max="13" width="10.140625" bestFit="1" customWidth="1"/>
  </cols>
  <sheetData>
    <row r="1" spans="1:13" ht="19.5" customHeight="1">
      <c r="B1" s="11" t="s">
        <v>42</v>
      </c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 ht="12.95" customHeight="1">
      <c r="A3" s="1">
        <v>1</v>
      </c>
      <c r="B3" s="34" t="str">
        <f>сентябрь!B3</f>
        <v>Содержание общ.имущ.дома</v>
      </c>
      <c r="C3" s="8">
        <f>62963.62+13635.39</f>
        <v>76599.010000000009</v>
      </c>
      <c r="D3" s="18">
        <f>C3+сентябрь!D3</f>
        <v>648065.58000000007</v>
      </c>
      <c r="E3" s="9">
        <f>99431+13966.44</f>
        <v>113397.44</v>
      </c>
      <c r="F3" s="18">
        <f>E3+сентябрь!F3</f>
        <v>706592.07000000007</v>
      </c>
      <c r="G3" s="18">
        <f>E3-C3</f>
        <v>36798.429999999993</v>
      </c>
      <c r="H3" s="19">
        <f>F3-D3</f>
        <v>58526.489999999991</v>
      </c>
      <c r="I3" s="9"/>
      <c r="J3" s="19">
        <f>I3+сентябрь!J3</f>
        <v>0</v>
      </c>
      <c r="K3" s="8"/>
      <c r="L3" s="18">
        <f>K3+сентябрь!L3</f>
        <v>0</v>
      </c>
    </row>
    <row r="4" spans="1:13" ht="12.95" customHeight="1">
      <c r="A4" s="1">
        <f>A3+1</f>
        <v>2</v>
      </c>
      <c r="B4" s="34" t="str">
        <f>сентябрь!B4</f>
        <v>Отопление</v>
      </c>
      <c r="C4" s="8">
        <f>127230.03+26199.31</f>
        <v>153429.34</v>
      </c>
      <c r="D4" s="18">
        <f>C4+сентябрь!D4</f>
        <v>1212627.3600000001</v>
      </c>
      <c r="E4" s="9">
        <f>105141.64+3621.1</f>
        <v>108762.74</v>
      </c>
      <c r="F4" s="18">
        <f>E4+сентябрь!F4</f>
        <v>1679043.6400000001</v>
      </c>
      <c r="G4" s="18">
        <f t="shared" ref="G4:H22" si="0">E4-C4</f>
        <v>-44666.599999999991</v>
      </c>
      <c r="H4" s="19">
        <f t="shared" si="0"/>
        <v>466416.28</v>
      </c>
      <c r="I4" s="9"/>
      <c r="J4" s="19">
        <f>I4+сентябрь!J4</f>
        <v>0</v>
      </c>
      <c r="K4" s="8"/>
      <c r="L4" s="18">
        <f>K4+сентябрь!L4</f>
        <v>0</v>
      </c>
      <c r="M4" s="24">
        <f>L4-J4</f>
        <v>0</v>
      </c>
    </row>
    <row r="5" spans="1:13" ht="12.95" customHeight="1">
      <c r="A5" s="1">
        <f t="shared" ref="A5:A22" si="1">A4+1</f>
        <v>3</v>
      </c>
      <c r="B5" s="34" t="str">
        <f>сентябрь!B5</f>
        <v>Горячее водоснабжение</v>
      </c>
      <c r="C5" s="8">
        <f>130406.08+32272.79+525.76</f>
        <v>163204.63</v>
      </c>
      <c r="D5" s="18">
        <f>C5+сентябрь!D5</f>
        <v>1399411.7800000003</v>
      </c>
      <c r="E5" s="9">
        <f>183063.63+33973.21+525.75</f>
        <v>217562.59</v>
      </c>
      <c r="F5" s="18">
        <f>E5+сентябрь!F5</f>
        <v>1517030.18</v>
      </c>
      <c r="G5" s="18">
        <f t="shared" si="0"/>
        <v>54357.959999999992</v>
      </c>
      <c r="H5" s="19">
        <f t="shared" si="0"/>
        <v>117618.39999999967</v>
      </c>
      <c r="I5" s="9"/>
      <c r="J5" s="19">
        <f>I5+сентябрь!J5</f>
        <v>0</v>
      </c>
      <c r="K5" s="8"/>
      <c r="L5" s="18">
        <f>K5+сентябрь!L5</f>
        <v>0</v>
      </c>
    </row>
    <row r="6" spans="1:13" ht="12.95" customHeight="1">
      <c r="A6" s="1">
        <f t="shared" si="1"/>
        <v>4</v>
      </c>
      <c r="B6" s="34" t="str">
        <f>сентябрь!B6</f>
        <v>Сод.и ремонт АППЗ</v>
      </c>
      <c r="C6" s="8">
        <f>2328.03+504.2</f>
        <v>2832.23</v>
      </c>
      <c r="D6" s="18">
        <f>C6+сентябрь!D6</f>
        <v>24902.09</v>
      </c>
      <c r="E6" s="9">
        <f>3844.2+519.06</f>
        <v>4363.26</v>
      </c>
      <c r="F6" s="18">
        <f>E6+сентябрь!F6</f>
        <v>27679.940000000002</v>
      </c>
      <c r="G6" s="18">
        <f t="shared" si="0"/>
        <v>1531.0300000000002</v>
      </c>
      <c r="H6" s="19">
        <f t="shared" si="0"/>
        <v>2777.8500000000022</v>
      </c>
      <c r="I6" s="9"/>
      <c r="J6" s="19">
        <f>I6+сентябрь!J6</f>
        <v>0</v>
      </c>
      <c r="K6" s="8"/>
      <c r="L6" s="18">
        <f>K6+сентябрь!L6</f>
        <v>0</v>
      </c>
    </row>
    <row r="7" spans="1:13" ht="12.95" customHeight="1">
      <c r="A7" s="1">
        <f t="shared" si="1"/>
        <v>5</v>
      </c>
      <c r="B7" s="34" t="str">
        <f>сентябрь!B7</f>
        <v>Сод.и ремонт лифтов</v>
      </c>
      <c r="C7" s="8">
        <f>15406.29+3380.21</f>
        <v>18786.5</v>
      </c>
      <c r="D7" s="18">
        <f>C7+сентябрь!D7</f>
        <v>124719.16</v>
      </c>
      <c r="E7" s="9">
        <f>26772.61+3130.05</f>
        <v>29902.66</v>
      </c>
      <c r="F7" s="18">
        <f>E7+сентябрь!F7</f>
        <v>215920.09999999998</v>
      </c>
      <c r="G7" s="18">
        <f t="shared" si="0"/>
        <v>11116.16</v>
      </c>
      <c r="H7" s="19">
        <f t="shared" si="0"/>
        <v>91200.939999999973</v>
      </c>
      <c r="I7" s="9"/>
      <c r="J7" s="19">
        <f>I7+сентябрь!J7</f>
        <v>0</v>
      </c>
      <c r="K7" s="8"/>
      <c r="L7" s="18">
        <f>K7+сентябрь!L7</f>
        <v>0</v>
      </c>
    </row>
    <row r="8" spans="1:13" ht="12.95" customHeight="1">
      <c r="A8" s="1">
        <f t="shared" si="1"/>
        <v>6</v>
      </c>
      <c r="B8" s="34" t="str">
        <f>сентябрь!B8</f>
        <v>Очистка мусоропроводов</v>
      </c>
      <c r="C8" s="8">
        <f>7193.94+1627.07</f>
        <v>8821.01</v>
      </c>
      <c r="D8" s="18">
        <f>C8+сентябрь!D8</f>
        <v>75704.210000000006</v>
      </c>
      <c r="E8" s="9">
        <f>7686.65+1670</f>
        <v>9356.65</v>
      </c>
      <c r="F8" s="18">
        <f>E8+сентябрь!F8</f>
        <v>80587.989999999991</v>
      </c>
      <c r="G8" s="18">
        <f t="shared" si="0"/>
        <v>535.63999999999942</v>
      </c>
      <c r="H8" s="19">
        <f t="shared" si="0"/>
        <v>4883.7799999999843</v>
      </c>
      <c r="I8" s="9"/>
      <c r="J8" s="19">
        <f>I8+сентябрь!J8</f>
        <v>0</v>
      </c>
      <c r="K8" s="8"/>
      <c r="L8" s="18">
        <f>K8+сентябрь!L8</f>
        <v>0</v>
      </c>
    </row>
    <row r="9" spans="1:13" ht="12.95" customHeight="1">
      <c r="A9" s="1">
        <f t="shared" si="1"/>
        <v>7</v>
      </c>
      <c r="B9" s="34" t="str">
        <f>сентябрь!B9</f>
        <v>Уборка и сан.очистка зем.уч.</v>
      </c>
      <c r="C9" s="8">
        <f>9682.68+2096.9</f>
        <v>11779.58</v>
      </c>
      <c r="D9" s="18">
        <f>C9+сентябрь!D9</f>
        <v>93988.11</v>
      </c>
      <c r="E9" s="9">
        <f>14909.17+2132.59</f>
        <v>17041.760000000002</v>
      </c>
      <c r="F9" s="18">
        <f>E9+сентябрь!F9</f>
        <v>101479.37</v>
      </c>
      <c r="G9" s="18">
        <f t="shared" si="0"/>
        <v>5262.1800000000021</v>
      </c>
      <c r="H9" s="19">
        <f t="shared" si="0"/>
        <v>7491.2599999999948</v>
      </c>
      <c r="I9" s="9"/>
      <c r="J9" s="19">
        <f>I9+сентябрь!J9</f>
        <v>0</v>
      </c>
      <c r="K9" s="8"/>
      <c r="L9" s="18">
        <f>K9+сентябрь!L9</f>
        <v>0</v>
      </c>
    </row>
    <row r="10" spans="1:13" ht="12.95" customHeight="1">
      <c r="A10" s="1">
        <f t="shared" si="1"/>
        <v>8</v>
      </c>
      <c r="B10" s="34" t="str">
        <f>сентябрь!B10</f>
        <v>Холодная вода</v>
      </c>
      <c r="C10" s="8">
        <f>50463.6+12685.56</f>
        <v>63149.159999999996</v>
      </c>
      <c r="D10" s="18">
        <f>C10+сентябрь!D10</f>
        <v>526664.63</v>
      </c>
      <c r="E10" s="9">
        <f>69181.55+13225.75</f>
        <v>82407.3</v>
      </c>
      <c r="F10" s="18">
        <f>E10+сентябрь!F10</f>
        <v>560194.46</v>
      </c>
      <c r="G10" s="18">
        <f t="shared" si="0"/>
        <v>19258.140000000007</v>
      </c>
      <c r="H10" s="19">
        <f t="shared" si="0"/>
        <v>33529.829999999958</v>
      </c>
      <c r="I10" s="9"/>
      <c r="J10" s="19">
        <f>I10+сентябрь!J10</f>
        <v>0</v>
      </c>
      <c r="K10" s="8"/>
      <c r="L10" s="18">
        <f>K10+сентябрь!L10</f>
        <v>0</v>
      </c>
    </row>
    <row r="11" spans="1:13" ht="12.95" customHeight="1">
      <c r="A11" s="1">
        <f t="shared" si="1"/>
        <v>9</v>
      </c>
      <c r="B11" s="34" t="str">
        <f>сентябрь!B11</f>
        <v>Канализир.х.воды</v>
      </c>
      <c r="C11" s="8">
        <f>0+0</f>
        <v>0</v>
      </c>
      <c r="D11" s="18">
        <f>C11+сентябрь!D11</f>
        <v>0</v>
      </c>
      <c r="E11" s="8">
        <f>0+0</f>
        <v>0</v>
      </c>
      <c r="F11" s="18">
        <f>E11+сентябрь!F11</f>
        <v>-196.6</v>
      </c>
      <c r="G11" s="18">
        <f t="shared" si="0"/>
        <v>0</v>
      </c>
      <c r="H11" s="19">
        <f t="shared" si="0"/>
        <v>-196.6</v>
      </c>
      <c r="I11" s="9"/>
      <c r="J11" s="19">
        <f>I11+сентябрь!J11</f>
        <v>0</v>
      </c>
      <c r="K11" s="8"/>
      <c r="L11" s="18">
        <f>K11+сентябрь!L11</f>
        <v>0</v>
      </c>
    </row>
    <row r="12" spans="1:13" ht="12.95" customHeight="1">
      <c r="A12" s="1">
        <f t="shared" si="1"/>
        <v>10</v>
      </c>
      <c r="B12" s="34" t="str">
        <f>сентябрь!B12</f>
        <v>Канализир.г.воды</v>
      </c>
      <c r="C12" s="8">
        <f>0+0</f>
        <v>0</v>
      </c>
      <c r="D12" s="18">
        <f>C12+сентябрь!D12</f>
        <v>0</v>
      </c>
      <c r="E12" s="8">
        <f>0+0</f>
        <v>0</v>
      </c>
      <c r="F12" s="18">
        <f>E12+сентябрь!F12</f>
        <v>75.399999999999991</v>
      </c>
      <c r="G12" s="18">
        <f t="shared" si="0"/>
        <v>0</v>
      </c>
      <c r="H12" s="19">
        <f t="shared" si="0"/>
        <v>75.399999999999991</v>
      </c>
      <c r="I12" s="9"/>
      <c r="J12" s="19">
        <f>I12+сентябрь!J12</f>
        <v>0</v>
      </c>
      <c r="K12" s="8"/>
      <c r="L12" s="18">
        <f>K12+сентябрь!L12</f>
        <v>0</v>
      </c>
    </row>
    <row r="13" spans="1:13" ht="12.95" customHeight="1">
      <c r="A13" s="1">
        <f t="shared" si="1"/>
        <v>11</v>
      </c>
      <c r="B13" s="34" t="str">
        <f>сентябрь!B13</f>
        <v>Тек.рем.общ.имущ.дома</v>
      </c>
      <c r="C13" s="8">
        <f>32857.42+7115.61</f>
        <v>39973.03</v>
      </c>
      <c r="D13" s="18">
        <f>C13+сентябрь!D13</f>
        <v>340009.45999999996</v>
      </c>
      <c r="E13" s="9">
        <f>55190.37+7293.93</f>
        <v>62484.3</v>
      </c>
      <c r="F13" s="18">
        <f>E13+сентябрь!F13</f>
        <v>379608.70999999996</v>
      </c>
      <c r="G13" s="18">
        <f t="shared" si="0"/>
        <v>22511.270000000004</v>
      </c>
      <c r="H13" s="19">
        <f t="shared" si="0"/>
        <v>39599.25</v>
      </c>
      <c r="I13" s="9"/>
      <c r="J13" s="19">
        <f>I13+сентябрь!J13</f>
        <v>0</v>
      </c>
      <c r="K13" s="8"/>
      <c r="L13" s="18">
        <f>K13+сентябрь!L13</f>
        <v>0</v>
      </c>
    </row>
    <row r="14" spans="1:13" ht="12.95" customHeight="1">
      <c r="A14" s="1">
        <f t="shared" si="1"/>
        <v>12</v>
      </c>
      <c r="B14" s="34" t="str">
        <f>сентябрь!B14</f>
        <v>Управление многокв.домом</v>
      </c>
      <c r="C14" s="8">
        <f>13598.03+2944.82</f>
        <v>16542.850000000002</v>
      </c>
      <c r="D14" s="18">
        <f>C14+сентябрь!D14</f>
        <v>136761.23000000001</v>
      </c>
      <c r="E14" s="9">
        <f>19867.39+3007.01</f>
        <v>22874.400000000001</v>
      </c>
      <c r="F14" s="18">
        <f>E14+сентябрь!F14</f>
        <v>145655.44</v>
      </c>
      <c r="G14" s="18">
        <f t="shared" si="0"/>
        <v>6331.5499999999993</v>
      </c>
      <c r="H14" s="19">
        <f t="shared" si="0"/>
        <v>8894.2099999999919</v>
      </c>
      <c r="I14" s="9"/>
      <c r="J14" s="19">
        <f>I14+сентябрь!J14</f>
        <v>0</v>
      </c>
      <c r="K14" s="8"/>
      <c r="L14" s="18">
        <f>K14+сентябрь!L14</f>
        <v>0</v>
      </c>
    </row>
    <row r="15" spans="1:13" ht="12.95" customHeight="1">
      <c r="A15" s="1">
        <f t="shared" si="1"/>
        <v>13</v>
      </c>
      <c r="B15" s="34" t="str">
        <f>сентябрь!B15</f>
        <v>Водоотведение(кв)</v>
      </c>
      <c r="C15" s="8">
        <f>86709.4+21654.21</f>
        <v>108363.60999999999</v>
      </c>
      <c r="D15" s="18">
        <f>C15+сентябрь!D15</f>
        <v>902030.29</v>
      </c>
      <c r="E15" s="9">
        <f>119956.92+22665.53</f>
        <v>142622.45000000001</v>
      </c>
      <c r="F15" s="18">
        <f>E15+сентябрь!F15</f>
        <v>966068.41999999993</v>
      </c>
      <c r="G15" s="18">
        <f t="shared" si="0"/>
        <v>34258.840000000026</v>
      </c>
      <c r="H15" s="19">
        <f t="shared" si="0"/>
        <v>64038.129999999888</v>
      </c>
      <c r="I15" s="9"/>
      <c r="J15" s="19">
        <f>I15+сентябрь!J15</f>
        <v>0</v>
      </c>
      <c r="K15" s="8"/>
      <c r="L15" s="18">
        <f>K15+сентябрь!L15</f>
        <v>0</v>
      </c>
    </row>
    <row r="16" spans="1:13" ht="12.95" customHeight="1">
      <c r="A16" s="1">
        <f t="shared" si="1"/>
        <v>14</v>
      </c>
      <c r="B16" s="34" t="str">
        <f>сентябрь!B16</f>
        <v>Электроснабж.на общед.нужды</v>
      </c>
      <c r="C16" s="8">
        <f>5304.38+1148.88</f>
        <v>6453.26</v>
      </c>
      <c r="D16" s="18">
        <f>C16+сентябрь!D16</f>
        <v>57380.930000000008</v>
      </c>
      <c r="E16" s="9">
        <f>8981.55+1207.08</f>
        <v>10188.629999999999</v>
      </c>
      <c r="F16" s="18">
        <f>E16+сентябрь!F16</f>
        <v>64589.37</v>
      </c>
      <c r="G16" s="18">
        <f t="shared" si="0"/>
        <v>3735.369999999999</v>
      </c>
      <c r="H16" s="19">
        <f t="shared" si="0"/>
        <v>7208.4399999999951</v>
      </c>
      <c r="I16" s="9"/>
      <c r="J16" s="19">
        <f>I16+сентябрь!J16</f>
        <v>0</v>
      </c>
      <c r="K16" s="8"/>
      <c r="L16" s="18">
        <f>K16+сентябрь!L16</f>
        <v>0</v>
      </c>
    </row>
    <row r="17" spans="1:12" ht="12.95" customHeight="1">
      <c r="A17" s="1">
        <f t="shared" si="1"/>
        <v>15</v>
      </c>
      <c r="B17" s="34" t="str">
        <f>сентябрь!B17</f>
        <v>Эксплуатация общедом.ПУ</v>
      </c>
      <c r="C17" s="8">
        <f>3492.18+756.23</f>
        <v>4248.41</v>
      </c>
      <c r="D17" s="18">
        <f>C17+сентябрь!D17</f>
        <v>36117.56</v>
      </c>
      <c r="E17" s="9">
        <f>5725.58+775.17</f>
        <v>6500.75</v>
      </c>
      <c r="F17" s="18">
        <f>E17+сентябрь!F17</f>
        <v>40050.87000000001</v>
      </c>
      <c r="G17" s="18">
        <f t="shared" si="0"/>
        <v>2252.34</v>
      </c>
      <c r="H17" s="19">
        <f t="shared" si="0"/>
        <v>3933.3100000000122</v>
      </c>
      <c r="I17" s="9"/>
      <c r="J17" s="19">
        <f>I17+сентябрь!J17</f>
        <v>0</v>
      </c>
      <c r="K17" s="8"/>
      <c r="L17" s="18">
        <f>K17+сентябрь!L17</f>
        <v>0</v>
      </c>
    </row>
    <row r="18" spans="1:12" ht="12.95" customHeight="1">
      <c r="A18" s="1">
        <f t="shared" si="1"/>
        <v>16</v>
      </c>
      <c r="B18" s="34" t="str">
        <f>сентябрь!B18</f>
        <v>Водоотведение(о/д нужды)</v>
      </c>
      <c r="C18" s="8">
        <f>0+0</f>
        <v>0</v>
      </c>
      <c r="D18" s="18">
        <f>C18+сентябрь!D18</f>
        <v>0</v>
      </c>
      <c r="E18" s="9">
        <f>0+-259.01</f>
        <v>-259.01</v>
      </c>
      <c r="F18" s="18">
        <f>E18+сентябрь!F18</f>
        <v>-337.5</v>
      </c>
      <c r="G18" s="18">
        <f t="shared" si="0"/>
        <v>-259.01</v>
      </c>
      <c r="H18" s="19">
        <f t="shared" si="0"/>
        <v>-337.5</v>
      </c>
      <c r="I18" s="9"/>
      <c r="J18" s="19">
        <f>I18+сентябрь!J18</f>
        <v>0</v>
      </c>
      <c r="K18" s="8"/>
      <c r="L18" s="18">
        <f>K18+сентябрь!L18</f>
        <v>0</v>
      </c>
    </row>
    <row r="19" spans="1:12" ht="12.95" customHeight="1">
      <c r="A19" s="1">
        <f t="shared" si="1"/>
        <v>17</v>
      </c>
      <c r="B19" s="34" t="str">
        <f>сентябрь!B19</f>
        <v>Отопление (о/д нужды)</v>
      </c>
      <c r="C19" s="8">
        <f>0+0</f>
        <v>0</v>
      </c>
      <c r="D19" s="18">
        <f>C19+сентябрь!D19</f>
        <v>0</v>
      </c>
      <c r="E19" s="8">
        <f>0+0</f>
        <v>0</v>
      </c>
      <c r="F19" s="18">
        <f>E19+сентябрь!F19</f>
        <v>364.56999999999994</v>
      </c>
      <c r="G19" s="18">
        <f t="shared" si="0"/>
        <v>0</v>
      </c>
      <c r="H19" s="19">
        <f t="shared" si="0"/>
        <v>364.56999999999994</v>
      </c>
      <c r="I19" s="9"/>
      <c r="J19" s="19">
        <f>I19+сентябрь!J19</f>
        <v>0</v>
      </c>
      <c r="K19" s="8"/>
      <c r="L19" s="18">
        <f>K19+сентябрь!L19</f>
        <v>0</v>
      </c>
    </row>
    <row r="20" spans="1:12" ht="12.95" customHeight="1">
      <c r="A20" s="1">
        <f t="shared" si="1"/>
        <v>18</v>
      </c>
      <c r="B20" s="34" t="str">
        <f>сентябрь!B20</f>
        <v>Гор.водоснабж.(о/д нужды)</v>
      </c>
      <c r="C20" s="8">
        <f>3967.53+857.16</f>
        <v>4824.6900000000005</v>
      </c>
      <c r="D20" s="18">
        <f>C20+сентябрь!D20</f>
        <v>47802.65</v>
      </c>
      <c r="E20" s="9">
        <f>6785.48+887.97</f>
        <v>7673.45</v>
      </c>
      <c r="F20" s="18">
        <f>E20+сентябрь!F20</f>
        <v>54471.029999999992</v>
      </c>
      <c r="G20" s="18">
        <f t="shared" si="0"/>
        <v>2848.7599999999993</v>
      </c>
      <c r="H20" s="19">
        <f t="shared" si="0"/>
        <v>6668.3799999999901</v>
      </c>
      <c r="I20" s="9"/>
      <c r="J20" s="19">
        <f>I20+сентябрь!J20</f>
        <v>0</v>
      </c>
      <c r="K20" s="8"/>
      <c r="L20" s="18">
        <f>K20+сентябрь!L20</f>
        <v>0</v>
      </c>
    </row>
    <row r="21" spans="1:12" ht="12.95" customHeight="1">
      <c r="A21" s="1">
        <f t="shared" si="1"/>
        <v>19</v>
      </c>
      <c r="B21" s="34" t="str">
        <f>сентябрь!B21</f>
        <v>Холодн водосн о/д нужды</v>
      </c>
      <c r="C21" s="8">
        <f>1780.43+385.24</f>
        <v>2165.67</v>
      </c>
      <c r="D21" s="18">
        <f>C21+сентябрь!D21</f>
        <v>20956.11</v>
      </c>
      <c r="E21" s="9">
        <f>3710+400.81</f>
        <v>4110.8100000000004</v>
      </c>
      <c r="F21" s="18">
        <f>E21+сентябрь!F21</f>
        <v>25430.47</v>
      </c>
      <c r="G21" s="18">
        <f t="shared" si="0"/>
        <v>1945.1400000000003</v>
      </c>
      <c r="H21" s="19">
        <f t="shared" si="0"/>
        <v>4474.3600000000006</v>
      </c>
      <c r="I21" s="9"/>
      <c r="J21" s="19">
        <f>I21+сентябрь!J21</f>
        <v>0</v>
      </c>
      <c r="K21" s="8"/>
      <c r="L21" s="18">
        <f>K21+сентябрь!L21</f>
        <v>0</v>
      </c>
    </row>
    <row r="22" spans="1:12" ht="12.95" customHeight="1">
      <c r="A22" s="1">
        <f t="shared" si="1"/>
        <v>20</v>
      </c>
      <c r="B22" s="34">
        <f>сентябрь!B22</f>
        <v>0</v>
      </c>
      <c r="C22" s="8">
        <f>0+0</f>
        <v>0</v>
      </c>
      <c r="D22" s="18">
        <f>C22+сентябрь!D22</f>
        <v>1016.02</v>
      </c>
      <c r="E22" s="8">
        <f>0+0</f>
        <v>0</v>
      </c>
      <c r="F22" s="18">
        <f>E22+сентябрь!F22</f>
        <v>338.67</v>
      </c>
      <c r="G22" s="18">
        <f t="shared" si="0"/>
        <v>0</v>
      </c>
      <c r="H22" s="19">
        <f t="shared" si="0"/>
        <v>-677.34999999999991</v>
      </c>
      <c r="I22" s="9"/>
      <c r="J22" s="19">
        <f>I22+сентябрь!J22</f>
        <v>0</v>
      </c>
      <c r="K22" s="8"/>
      <c r="L22" s="18">
        <f>K22+сентябрь!L22</f>
        <v>0</v>
      </c>
    </row>
    <row r="23" spans="1:12" ht="12.95" customHeight="1">
      <c r="A23" s="21"/>
      <c r="B23" s="20" t="s">
        <v>12</v>
      </c>
      <c r="C23" s="18">
        <f t="shared" ref="C23:L23" si="2">SUM(C3:C22)</f>
        <v>681172.98</v>
      </c>
      <c r="D23" s="18">
        <f t="shared" si="2"/>
        <v>5648157.1700000009</v>
      </c>
      <c r="E23" s="19">
        <f t="shared" si="2"/>
        <v>838990.18</v>
      </c>
      <c r="F23" s="18">
        <f t="shared" si="2"/>
        <v>6564646.6000000015</v>
      </c>
      <c r="G23" s="18">
        <f t="shared" si="2"/>
        <v>157817.20000000004</v>
      </c>
      <c r="H23" s="19">
        <f t="shared" si="2"/>
        <v>916489.42999999947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5" spans="1:12" hidden="1"/>
    <row r="26" spans="1:12" hidden="1"/>
    <row r="27" spans="1:12" ht="5.25" customHeight="1"/>
    <row r="28" spans="1:12">
      <c r="B28" s="1" t="s">
        <v>36</v>
      </c>
      <c r="C28" s="9">
        <f>C10+C11+C12+C15+C18+C21</f>
        <v>173678.44</v>
      </c>
      <c r="D28" s="9">
        <f t="shared" ref="D28:J28" si="3">D10+D11+D12+D15+D18+D21</f>
        <v>1449651.03</v>
      </c>
      <c r="E28" s="9">
        <f t="shared" si="3"/>
        <v>228881.55</v>
      </c>
      <c r="F28" s="9">
        <f t="shared" si="3"/>
        <v>1551234.65</v>
      </c>
      <c r="G28" s="9">
        <f t="shared" si="3"/>
        <v>55203.11000000003</v>
      </c>
      <c r="H28" s="9">
        <f t="shared" si="3"/>
        <v>101583.61999999985</v>
      </c>
      <c r="I28" s="9">
        <f t="shared" si="3"/>
        <v>0</v>
      </c>
      <c r="J28" s="9">
        <f t="shared" si="3"/>
        <v>0</v>
      </c>
    </row>
    <row r="29" spans="1:12">
      <c r="B29" s="1" t="s">
        <v>37</v>
      </c>
      <c r="C29" s="9">
        <f>C16</f>
        <v>6453.26</v>
      </c>
      <c r="D29" s="9">
        <f t="shared" ref="D29:J29" si="4">D16</f>
        <v>57380.930000000008</v>
      </c>
      <c r="E29" s="9">
        <f t="shared" si="4"/>
        <v>10188.629999999999</v>
      </c>
      <c r="F29" s="9">
        <f t="shared" si="4"/>
        <v>64589.37</v>
      </c>
      <c r="G29" s="9">
        <f t="shared" si="4"/>
        <v>3735.369999999999</v>
      </c>
      <c r="H29" s="9">
        <f t="shared" si="4"/>
        <v>7208.4399999999951</v>
      </c>
      <c r="I29" s="9">
        <f t="shared" si="4"/>
        <v>0</v>
      </c>
      <c r="J29" s="9">
        <f t="shared" si="4"/>
        <v>0</v>
      </c>
    </row>
    <row r="30" spans="1:12">
      <c r="B30" s="1" t="s">
        <v>38</v>
      </c>
      <c r="C30" s="9">
        <f>C4+C5+C19+C20</f>
        <v>321458.65999999997</v>
      </c>
      <c r="D30" s="9">
        <f t="shared" ref="D30:J30" si="5">D4+D5+D19+D20</f>
        <v>2659841.7900000005</v>
      </c>
      <c r="E30" s="9">
        <f t="shared" si="5"/>
        <v>333998.78000000003</v>
      </c>
      <c r="F30" s="9">
        <f t="shared" si="5"/>
        <v>3250909.42</v>
      </c>
      <c r="G30" s="9">
        <f t="shared" si="5"/>
        <v>12540.119999999999</v>
      </c>
      <c r="H30" s="9">
        <f t="shared" si="5"/>
        <v>591067.62999999966</v>
      </c>
      <c r="I30" s="9">
        <f t="shared" si="5"/>
        <v>0</v>
      </c>
      <c r="J30" s="9">
        <f t="shared" si="5"/>
        <v>0</v>
      </c>
    </row>
    <row r="32" spans="1:12">
      <c r="D32">
        <v>553909.4</v>
      </c>
      <c r="E32">
        <v>730773.49</v>
      </c>
    </row>
    <row r="33" spans="3:5">
      <c r="D33">
        <v>127263.58</v>
      </c>
      <c r="E33">
        <v>108216.69</v>
      </c>
    </row>
    <row r="34" spans="3:5">
      <c r="C34" s="24">
        <f>C23-D34</f>
        <v>0</v>
      </c>
      <c r="D34" s="11">
        <f>D32+D33</f>
        <v>681172.98</v>
      </c>
      <c r="E34" s="11">
        <f>E32+E33</f>
        <v>838990.17999999993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E18" sqref="E18:E19"/>
    </sheetView>
  </sheetViews>
  <sheetFormatPr defaultRowHeight="12.75"/>
  <cols>
    <col min="1" max="1" width="3.7109375" customWidth="1"/>
    <col min="2" max="2" width="28.42578125" customWidth="1"/>
    <col min="3" max="3" width="11.85546875" customWidth="1"/>
    <col min="4" max="4" width="12" customWidth="1"/>
    <col min="5" max="7" width="12.140625" customWidth="1"/>
    <col min="8" max="8" width="11.5703125" customWidth="1"/>
    <col min="9" max="9" width="10.140625" bestFit="1" customWidth="1"/>
    <col min="10" max="10" width="11.5703125" customWidth="1"/>
    <col min="11" max="11" width="10.5703125" customWidth="1"/>
    <col min="12" max="12" width="12" customWidth="1"/>
    <col min="13" max="13" width="10.140625" bestFit="1" customWidth="1"/>
  </cols>
  <sheetData>
    <row r="1" spans="1:13">
      <c r="B1" s="11" t="s">
        <v>43</v>
      </c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 ht="15" customHeight="1">
      <c r="A3" s="1">
        <v>1</v>
      </c>
      <c r="B3" s="34" t="str">
        <f>октябрь!B3</f>
        <v>Содержание общ.имущ.дома</v>
      </c>
      <c r="C3" s="8">
        <f>63188.65+11422.92</f>
        <v>74611.570000000007</v>
      </c>
      <c r="D3" s="18">
        <f>C3+октябрь!D3</f>
        <v>722677.15000000014</v>
      </c>
      <c r="E3" s="9">
        <f>58430.18+10749.26</f>
        <v>69179.44</v>
      </c>
      <c r="F3" s="18">
        <f>E3+октябрь!F3</f>
        <v>775771.51</v>
      </c>
      <c r="G3" s="18">
        <f>E3-C3</f>
        <v>-5432.1300000000047</v>
      </c>
      <c r="H3" s="19">
        <f>F3-D3</f>
        <v>53094.35999999987</v>
      </c>
      <c r="I3" s="9"/>
      <c r="J3" s="19">
        <f>I3+октябрь!J3</f>
        <v>0</v>
      </c>
      <c r="K3" s="8"/>
      <c r="L3" s="18">
        <f>K3+октябрь!L3</f>
        <v>0</v>
      </c>
    </row>
    <row r="4" spans="1:13" ht="15" customHeight="1">
      <c r="A4" s="1">
        <f>A3+1</f>
        <v>2</v>
      </c>
      <c r="B4" s="34" t="str">
        <f>октябрь!B4</f>
        <v>Отопление</v>
      </c>
      <c r="C4" s="8">
        <f>228963.04+43002.72</f>
        <v>271965.76</v>
      </c>
      <c r="D4" s="18">
        <f>C4+октябрь!D4</f>
        <v>1484593.12</v>
      </c>
      <c r="E4" s="9">
        <f>83502.36+17991.52</f>
        <v>101493.88</v>
      </c>
      <c r="F4" s="18">
        <f>E4+октябрь!F4</f>
        <v>1780537.52</v>
      </c>
      <c r="G4" s="18">
        <f t="shared" ref="G4:H22" si="0">E4-C4</f>
        <v>-170471.88</v>
      </c>
      <c r="H4" s="19">
        <f t="shared" si="0"/>
        <v>295944.39999999991</v>
      </c>
      <c r="I4" s="9"/>
      <c r="J4" s="19">
        <f>I4+октябрь!J4</f>
        <v>0</v>
      </c>
      <c r="K4" s="8"/>
      <c r="L4" s="18">
        <f>K4+октябрь!L4</f>
        <v>0</v>
      </c>
      <c r="M4" s="24">
        <f>L4-J4</f>
        <v>0</v>
      </c>
    </row>
    <row r="5" spans="1:13" ht="15" customHeight="1">
      <c r="A5" s="1">
        <f t="shared" ref="A5:A22" si="1">A4+1</f>
        <v>3</v>
      </c>
      <c r="B5" s="34" t="str">
        <f>октябрь!B5</f>
        <v>Горячее водоснабжение</v>
      </c>
      <c r="C5" s="8">
        <f>122868.05+25382.96</f>
        <v>148251.01</v>
      </c>
      <c r="D5" s="18">
        <f>C5+октябрь!D5</f>
        <v>1547662.7900000003</v>
      </c>
      <c r="E5" s="9">
        <f>119381.75+26900.57</f>
        <v>146282.32</v>
      </c>
      <c r="F5" s="18">
        <f>E5+октябрь!F5</f>
        <v>1663312.5</v>
      </c>
      <c r="G5" s="18">
        <f t="shared" si="0"/>
        <v>-1968.6900000000023</v>
      </c>
      <c r="H5" s="19">
        <f t="shared" si="0"/>
        <v>115649.70999999973</v>
      </c>
      <c r="I5" s="9"/>
      <c r="J5" s="19">
        <f>I5+октябрь!J5</f>
        <v>0</v>
      </c>
      <c r="K5" s="8"/>
      <c r="L5" s="18">
        <f>K5+октябрь!L5</f>
        <v>0</v>
      </c>
    </row>
    <row r="6" spans="1:13" ht="15" customHeight="1">
      <c r="A6" s="1">
        <f t="shared" si="1"/>
        <v>4</v>
      </c>
      <c r="B6" s="34" t="str">
        <f>октябрь!B6</f>
        <v>Сод.и ремонт АППЗ</v>
      </c>
      <c r="C6" s="8">
        <f>2336.35+414.96</f>
        <v>2751.31</v>
      </c>
      <c r="D6" s="18">
        <f>C6+октябрь!D6</f>
        <v>27653.4</v>
      </c>
      <c r="E6" s="9">
        <f>2171.82+404.14</f>
        <v>2575.96</v>
      </c>
      <c r="F6" s="18">
        <f>E6+октябрь!F6</f>
        <v>30255.9</v>
      </c>
      <c r="G6" s="18">
        <f t="shared" si="0"/>
        <v>-175.34999999999991</v>
      </c>
      <c r="H6" s="19">
        <f t="shared" si="0"/>
        <v>2602.5</v>
      </c>
      <c r="I6" s="9"/>
      <c r="J6" s="19">
        <f>I6+октябрь!J6</f>
        <v>0</v>
      </c>
      <c r="K6" s="8"/>
      <c r="L6" s="18">
        <f>K6+октябрь!L6</f>
        <v>0</v>
      </c>
    </row>
    <row r="7" spans="1:13" ht="15" customHeight="1">
      <c r="A7" s="1">
        <f t="shared" si="1"/>
        <v>5</v>
      </c>
      <c r="B7" s="34" t="str">
        <f>октябрь!B7</f>
        <v>Сод.и ремонт лифтов</v>
      </c>
      <c r="C7" s="8">
        <f>15462.07+2698.51</f>
        <v>18160.580000000002</v>
      </c>
      <c r="D7" s="18">
        <f>C7+октябрь!D7</f>
        <v>142879.74</v>
      </c>
      <c r="E7" s="9">
        <f>14607.66+2787.66</f>
        <v>17395.32</v>
      </c>
      <c r="F7" s="18">
        <f>E7+октябрь!F7</f>
        <v>233315.41999999998</v>
      </c>
      <c r="G7" s="18">
        <f t="shared" si="0"/>
        <v>-765.26000000000204</v>
      </c>
      <c r="H7" s="19">
        <f t="shared" si="0"/>
        <v>90435.68</v>
      </c>
      <c r="I7" s="9"/>
      <c r="J7" s="19">
        <f>I7+октябрь!J7</f>
        <v>0</v>
      </c>
      <c r="K7" s="8"/>
      <c r="L7" s="18">
        <f>K7+октябрь!L7</f>
        <v>0</v>
      </c>
    </row>
    <row r="8" spans="1:13" ht="15" customHeight="1">
      <c r="A8" s="1">
        <f t="shared" si="1"/>
        <v>6</v>
      </c>
      <c r="B8" s="34" t="str">
        <f>октябрь!B8</f>
        <v>Очистка мусоропроводов</v>
      </c>
      <c r="C8" s="8">
        <f>7220.79+1348.32</f>
        <v>8569.11</v>
      </c>
      <c r="D8" s="18">
        <f>C8+октябрь!D8</f>
        <v>84273.32</v>
      </c>
      <c r="E8" s="9">
        <f>6679.66+1295.36</f>
        <v>7975.0199999999995</v>
      </c>
      <c r="F8" s="18">
        <f>E8+октябрь!F8</f>
        <v>88563.01</v>
      </c>
      <c r="G8" s="18">
        <f t="shared" si="0"/>
        <v>-594.09000000000106</v>
      </c>
      <c r="H8" s="19">
        <f t="shared" si="0"/>
        <v>4289.6899999999878</v>
      </c>
      <c r="I8" s="9"/>
      <c r="J8" s="19">
        <f>I8+октябрь!J8</f>
        <v>0</v>
      </c>
      <c r="K8" s="8"/>
      <c r="L8" s="18">
        <f>K8+октябрь!L8</f>
        <v>0</v>
      </c>
    </row>
    <row r="9" spans="1:13" ht="15" customHeight="1">
      <c r="A9" s="1">
        <f t="shared" si="1"/>
        <v>7</v>
      </c>
      <c r="B9" s="34" t="str">
        <f>октябрь!B9</f>
        <v>Уборка и сан.очистка зем.уч.</v>
      </c>
      <c r="C9" s="8">
        <f>9717.29+1771.47</f>
        <v>11488.76</v>
      </c>
      <c r="D9" s="18">
        <f>C9+октябрь!D9</f>
        <v>105476.87</v>
      </c>
      <c r="E9" s="9">
        <f>8939.95+1635.87</f>
        <v>10575.82</v>
      </c>
      <c r="F9" s="18">
        <f>E9+октябрь!F9</f>
        <v>112055.19</v>
      </c>
      <c r="G9" s="18">
        <f t="shared" si="0"/>
        <v>-912.94000000000051</v>
      </c>
      <c r="H9" s="19">
        <f t="shared" si="0"/>
        <v>6578.320000000007</v>
      </c>
      <c r="I9" s="9"/>
      <c r="J9" s="19">
        <f>I9+октябрь!J9</f>
        <v>0</v>
      </c>
      <c r="K9" s="8"/>
      <c r="L9" s="18">
        <f>K9+октябрь!L9</f>
        <v>0</v>
      </c>
    </row>
    <row r="10" spans="1:13" ht="15" customHeight="1">
      <c r="A10" s="1">
        <f t="shared" si="1"/>
        <v>8</v>
      </c>
      <c r="B10" s="34" t="str">
        <f>октябрь!B10</f>
        <v>Холодная вода</v>
      </c>
      <c r="C10" s="8">
        <f>48953.75+10165.52</f>
        <v>59119.270000000004</v>
      </c>
      <c r="D10" s="18">
        <f>C10+октябрь!D10</f>
        <v>585783.9</v>
      </c>
      <c r="E10" s="9">
        <f>46044.8+10390.6</f>
        <v>56435.4</v>
      </c>
      <c r="F10" s="18">
        <f>E10+октябрь!F10</f>
        <v>616629.86</v>
      </c>
      <c r="G10" s="18">
        <f t="shared" si="0"/>
        <v>-2683.8700000000026</v>
      </c>
      <c r="H10" s="19">
        <f t="shared" si="0"/>
        <v>30845.959999999963</v>
      </c>
      <c r="I10" s="9"/>
      <c r="J10" s="19">
        <f>I10+октябрь!J10</f>
        <v>0</v>
      </c>
      <c r="K10" s="8"/>
      <c r="L10" s="18">
        <f>K10+октябрь!L10</f>
        <v>0</v>
      </c>
    </row>
    <row r="11" spans="1:13" ht="15" customHeight="1">
      <c r="A11" s="1">
        <f t="shared" si="1"/>
        <v>9</v>
      </c>
      <c r="B11" s="34" t="str">
        <f>октябрь!B11</f>
        <v>Канализир.х.воды</v>
      </c>
      <c r="C11" s="8">
        <f>0+0</f>
        <v>0</v>
      </c>
      <c r="D11" s="18">
        <f>C11+октябрь!D11</f>
        <v>0</v>
      </c>
      <c r="E11" s="9">
        <v>0.51</v>
      </c>
      <c r="F11" s="18">
        <f>E11+октябрь!F11</f>
        <v>-196.09</v>
      </c>
      <c r="G11" s="18">
        <f t="shared" si="0"/>
        <v>0.51</v>
      </c>
      <c r="H11" s="19">
        <f t="shared" si="0"/>
        <v>-196.09</v>
      </c>
      <c r="I11" s="9"/>
      <c r="J11" s="19">
        <f>I11+октябрь!J11</f>
        <v>0</v>
      </c>
      <c r="K11" s="8"/>
      <c r="L11" s="18">
        <f>K11+октябрь!L11</f>
        <v>0</v>
      </c>
    </row>
    <row r="12" spans="1:13" ht="15" customHeight="1">
      <c r="A12" s="1">
        <f t="shared" si="1"/>
        <v>10</v>
      </c>
      <c r="B12" s="34" t="str">
        <f>октябрь!B12</f>
        <v>Канализир.г.воды</v>
      </c>
      <c r="C12" s="8">
        <f>0+0</f>
        <v>0</v>
      </c>
      <c r="D12" s="18">
        <f>C12+октябрь!D12</f>
        <v>0</v>
      </c>
      <c r="E12" s="9">
        <v>0.34</v>
      </c>
      <c r="F12" s="18">
        <f>E12+октябрь!F12</f>
        <v>75.739999999999995</v>
      </c>
      <c r="G12" s="18">
        <f t="shared" si="0"/>
        <v>0.34</v>
      </c>
      <c r="H12" s="19">
        <f t="shared" si="0"/>
        <v>75.739999999999995</v>
      </c>
      <c r="I12" s="9"/>
      <c r="J12" s="19">
        <f>I12+октябрь!J12</f>
        <v>0</v>
      </c>
      <c r="K12" s="8"/>
      <c r="L12" s="18">
        <f>K12+октябрь!L12</f>
        <v>0</v>
      </c>
    </row>
    <row r="13" spans="1:13" ht="15" customHeight="1">
      <c r="A13" s="1">
        <f t="shared" si="1"/>
        <v>11</v>
      </c>
      <c r="B13" s="34" t="str">
        <f>октябрь!B13</f>
        <v>Тек.рем.общ.имущ.дома</v>
      </c>
      <c r="C13" s="8">
        <f>32974.84+5937.36</f>
        <v>38912.199999999997</v>
      </c>
      <c r="D13" s="18">
        <f>C13+октябрь!D13</f>
        <v>378921.66</v>
      </c>
      <c r="E13" s="9">
        <f>30525.66+5641.68</f>
        <v>36167.339999999997</v>
      </c>
      <c r="F13" s="18">
        <f>E13+октябрь!F13</f>
        <v>415776.04999999993</v>
      </c>
      <c r="G13" s="18">
        <f t="shared" si="0"/>
        <v>-2744.8600000000006</v>
      </c>
      <c r="H13" s="19">
        <f t="shared" si="0"/>
        <v>36854.389999999956</v>
      </c>
      <c r="I13" s="9"/>
      <c r="J13" s="19">
        <f>I13+октябрь!J13</f>
        <v>0</v>
      </c>
      <c r="K13" s="8"/>
      <c r="L13" s="18">
        <f>K13+октябрь!L13</f>
        <v>0</v>
      </c>
    </row>
    <row r="14" spans="1:13" ht="15" customHeight="1">
      <c r="A14" s="1">
        <f t="shared" si="1"/>
        <v>12</v>
      </c>
      <c r="B14" s="34" t="str">
        <f>октябрь!B14</f>
        <v>Управление многокв.домом</v>
      </c>
      <c r="C14" s="8">
        <f>13646.63+2536.58</f>
        <v>16183.21</v>
      </c>
      <c r="D14" s="18">
        <f>C14+октябрь!D14</f>
        <v>152944.44</v>
      </c>
      <c r="E14" s="9">
        <f>12558.76+2297.47</f>
        <v>14856.23</v>
      </c>
      <c r="F14" s="18">
        <f>E14+октябрь!F14</f>
        <v>160511.67000000001</v>
      </c>
      <c r="G14" s="18">
        <f t="shared" si="0"/>
        <v>-1326.9799999999996</v>
      </c>
      <c r="H14" s="19">
        <f t="shared" si="0"/>
        <v>7567.2300000000105</v>
      </c>
      <c r="I14" s="9"/>
      <c r="J14" s="19">
        <f>I14+октябрь!J14</f>
        <v>0</v>
      </c>
      <c r="K14" s="8"/>
      <c r="L14" s="18">
        <f>K14+октябрь!L14</f>
        <v>0</v>
      </c>
    </row>
    <row r="15" spans="1:13" ht="15" customHeight="1">
      <c r="A15" s="1">
        <f t="shared" si="1"/>
        <v>13</v>
      </c>
      <c r="B15" s="34" t="str">
        <f>октябрь!B15</f>
        <v>Водоотведение(кв)</v>
      </c>
      <c r="C15" s="8">
        <f>83104.52+17270.08</f>
        <v>100374.6</v>
      </c>
      <c r="D15" s="18">
        <f>C15+октябрь!D15</f>
        <v>1002404.89</v>
      </c>
      <c r="E15" s="9">
        <f>79102.78+17837.51</f>
        <v>96940.29</v>
      </c>
      <c r="F15" s="18">
        <f>E15+октябрь!F15</f>
        <v>1063008.71</v>
      </c>
      <c r="G15" s="18">
        <f t="shared" si="0"/>
        <v>-3434.3100000000122</v>
      </c>
      <c r="H15" s="19">
        <f t="shared" si="0"/>
        <v>60603.819999999949</v>
      </c>
      <c r="I15" s="9"/>
      <c r="J15" s="19">
        <f>I15+октябрь!J15</f>
        <v>0</v>
      </c>
      <c r="K15" s="8"/>
      <c r="L15" s="18">
        <f>K15+октябрь!L15</f>
        <v>0</v>
      </c>
    </row>
    <row r="16" spans="1:13" ht="15" customHeight="1">
      <c r="A16" s="1">
        <f t="shared" si="1"/>
        <v>14</v>
      </c>
      <c r="B16" s="34" t="str">
        <f>октябрь!B16</f>
        <v>Электроснабж.на общед.нужды</v>
      </c>
      <c r="C16" s="8">
        <f>5714.82+1003.18</f>
        <v>6718</v>
      </c>
      <c r="D16" s="18">
        <f>C16+октябрь!D16</f>
        <v>64098.930000000008</v>
      </c>
      <c r="E16" s="9">
        <f>4269.21+953.57</f>
        <v>5222.78</v>
      </c>
      <c r="F16" s="18">
        <f>E16+октябрь!F16</f>
        <v>69812.150000000009</v>
      </c>
      <c r="G16" s="18">
        <f t="shared" si="0"/>
        <v>-1495.2200000000003</v>
      </c>
      <c r="H16" s="19">
        <f t="shared" si="0"/>
        <v>5713.2200000000012</v>
      </c>
      <c r="I16" s="9"/>
      <c r="J16" s="19">
        <f>I16+октябрь!J16</f>
        <v>0</v>
      </c>
      <c r="K16" s="8"/>
      <c r="L16" s="18">
        <f>K16+октябрь!L16</f>
        <v>0</v>
      </c>
    </row>
    <row r="17" spans="1:12" ht="15" customHeight="1">
      <c r="A17" s="1">
        <f t="shared" si="1"/>
        <v>15</v>
      </c>
      <c r="B17" s="34" t="str">
        <f>октябрь!B17</f>
        <v>Эксплуатация общедом.ПУ</v>
      </c>
      <c r="C17" s="8">
        <f>3504.66+627.27</f>
        <v>4131.93</v>
      </c>
      <c r="D17" s="18">
        <f>C17+октябрь!D17</f>
        <v>40249.49</v>
      </c>
      <c r="E17" s="9">
        <f>3246.48+600.71</f>
        <v>3847.19</v>
      </c>
      <c r="F17" s="18">
        <f>E17+октябрь!F17</f>
        <v>43898.060000000012</v>
      </c>
      <c r="G17" s="18">
        <f t="shared" si="0"/>
        <v>-284.74000000000024</v>
      </c>
      <c r="H17" s="19">
        <f t="shared" si="0"/>
        <v>3648.5700000000143</v>
      </c>
      <c r="I17" s="9"/>
      <c r="J17" s="19">
        <f>I17+октябрь!J17</f>
        <v>0</v>
      </c>
      <c r="K17" s="8"/>
      <c r="L17" s="18">
        <f>K17+октябрь!L17</f>
        <v>0</v>
      </c>
    </row>
    <row r="18" spans="1:12" ht="15" customHeight="1">
      <c r="A18" s="1">
        <f t="shared" si="1"/>
        <v>16</v>
      </c>
      <c r="B18" s="34" t="str">
        <f>октябрь!B18</f>
        <v>Водоотведение(о/д нужды)</v>
      </c>
      <c r="C18" s="8">
        <f>0+0</f>
        <v>0</v>
      </c>
      <c r="D18" s="18">
        <f>C18+октябрь!D18</f>
        <v>0</v>
      </c>
      <c r="E18" s="8">
        <f>0+0</f>
        <v>0</v>
      </c>
      <c r="F18" s="18">
        <f>E18+октябрь!F18</f>
        <v>-337.5</v>
      </c>
      <c r="G18" s="18">
        <f t="shared" si="0"/>
        <v>0</v>
      </c>
      <c r="H18" s="19">
        <f t="shared" si="0"/>
        <v>-337.5</v>
      </c>
      <c r="I18" s="9"/>
      <c r="J18" s="19">
        <f>I18+октябрь!J18</f>
        <v>0</v>
      </c>
      <c r="K18" s="8"/>
      <c r="L18" s="18">
        <f>K18+октябрь!L18</f>
        <v>0</v>
      </c>
    </row>
    <row r="19" spans="1:12" ht="15" customHeight="1">
      <c r="A19" s="1">
        <f t="shared" si="1"/>
        <v>17</v>
      </c>
      <c r="B19" s="34" t="str">
        <f>октябрь!B19</f>
        <v>Отопление (о/д нужды)</v>
      </c>
      <c r="C19" s="8">
        <f>0+0</f>
        <v>0</v>
      </c>
      <c r="D19" s="18">
        <f>C19+октябрь!D19</f>
        <v>0</v>
      </c>
      <c r="E19" s="8">
        <f>0+0</f>
        <v>0</v>
      </c>
      <c r="F19" s="18">
        <f>E19+октябрь!F19</f>
        <v>364.56999999999994</v>
      </c>
      <c r="G19" s="18">
        <f t="shared" si="0"/>
        <v>0</v>
      </c>
      <c r="H19" s="19">
        <f t="shared" si="0"/>
        <v>364.56999999999994</v>
      </c>
      <c r="I19" s="9"/>
      <c r="J19" s="19">
        <f>I19+октябрь!J19</f>
        <v>0</v>
      </c>
      <c r="K19" s="8"/>
      <c r="L19" s="18">
        <f>K19+октябрь!L19</f>
        <v>0</v>
      </c>
    </row>
    <row r="20" spans="1:12" ht="15" customHeight="1">
      <c r="A20" s="1">
        <f t="shared" si="1"/>
        <v>18</v>
      </c>
      <c r="B20" s="34" t="str">
        <f>октябрь!B20</f>
        <v>Гор.водоснабж.(о/д нужды)</v>
      </c>
      <c r="C20" s="8">
        <f>3981.63+682.85</f>
        <v>4664.4800000000005</v>
      </c>
      <c r="D20" s="18">
        <f>C20+октябрь!D20</f>
        <v>52467.130000000005</v>
      </c>
      <c r="E20" s="9">
        <f>3749.84+697.6</f>
        <v>4447.4400000000005</v>
      </c>
      <c r="F20" s="18">
        <f>E20+октябрь!F20</f>
        <v>58918.469999999994</v>
      </c>
      <c r="G20" s="18">
        <f t="shared" si="0"/>
        <v>-217.03999999999996</v>
      </c>
      <c r="H20" s="19">
        <f t="shared" si="0"/>
        <v>6451.3399999999892</v>
      </c>
      <c r="I20" s="9"/>
      <c r="J20" s="19">
        <f>I20+октябрь!J20</f>
        <v>0</v>
      </c>
      <c r="K20" s="8"/>
      <c r="L20" s="18">
        <f>K20+октябрь!L20</f>
        <v>0</v>
      </c>
    </row>
    <row r="21" spans="1:12" ht="15" customHeight="1">
      <c r="A21" s="1">
        <f t="shared" si="1"/>
        <v>19</v>
      </c>
      <c r="B21" s="34" t="str">
        <f>октябрь!B21</f>
        <v>Холодн водосн о/д нужды</v>
      </c>
      <c r="C21" s="8">
        <f>1786.87+267.3</f>
        <v>2054.17</v>
      </c>
      <c r="D21" s="18">
        <f>C21+октябрь!D21</f>
        <v>23010.28</v>
      </c>
      <c r="E21" s="9">
        <f>1786.44+431.32</f>
        <v>2217.7600000000002</v>
      </c>
      <c r="F21" s="18">
        <f>E21+октябрь!F21</f>
        <v>27648.230000000003</v>
      </c>
      <c r="G21" s="18">
        <f t="shared" si="0"/>
        <v>163.59000000000015</v>
      </c>
      <c r="H21" s="19">
        <f t="shared" si="0"/>
        <v>4637.9500000000044</v>
      </c>
      <c r="I21" s="9"/>
      <c r="J21" s="19">
        <f>I21+октябрь!J21</f>
        <v>0</v>
      </c>
      <c r="K21" s="8"/>
      <c r="L21" s="18">
        <f>K21+октябрь!L21</f>
        <v>0</v>
      </c>
    </row>
    <row r="22" spans="1:12" ht="15" customHeight="1">
      <c r="A22" s="1">
        <f t="shared" si="1"/>
        <v>20</v>
      </c>
      <c r="B22" s="34">
        <f>октябрь!B22</f>
        <v>0</v>
      </c>
      <c r="C22" s="8">
        <v>525.76</v>
      </c>
      <c r="D22" s="18">
        <f>C22+октябрь!D22</f>
        <v>1541.78</v>
      </c>
      <c r="E22" s="9">
        <v>279.2</v>
      </c>
      <c r="F22" s="18">
        <f>E22+октябрь!F22</f>
        <v>617.87</v>
      </c>
      <c r="G22" s="18">
        <f t="shared" si="0"/>
        <v>-246.56</v>
      </c>
      <c r="H22" s="19">
        <f t="shared" si="0"/>
        <v>-923.91</v>
      </c>
      <c r="I22" s="9"/>
      <c r="J22" s="19">
        <f>I22+октябрь!J22</f>
        <v>0</v>
      </c>
      <c r="K22" s="8"/>
      <c r="L22" s="18">
        <f>K22+октябрь!L22</f>
        <v>0</v>
      </c>
    </row>
    <row r="23" spans="1:12" ht="15" customHeight="1">
      <c r="A23" s="21"/>
      <c r="B23" s="20" t="s">
        <v>12</v>
      </c>
      <c r="C23" s="18">
        <f t="shared" ref="C23:L23" si="2">SUM(C3:C22)</f>
        <v>768481.72000000009</v>
      </c>
      <c r="D23" s="18">
        <f t="shared" si="2"/>
        <v>6416638.8900000006</v>
      </c>
      <c r="E23" s="19">
        <f t="shared" si="2"/>
        <v>575892.24</v>
      </c>
      <c r="F23" s="18">
        <f t="shared" si="2"/>
        <v>7140538.8400000017</v>
      </c>
      <c r="G23" s="18">
        <f t="shared" si="2"/>
        <v>-192589.48000000007</v>
      </c>
      <c r="H23" s="19">
        <f t="shared" si="2"/>
        <v>723899.94999999925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5" spans="1:12" ht="4.5" customHeight="1"/>
    <row r="26" spans="1:12" hidden="1"/>
    <row r="27" spans="1:12" hidden="1"/>
    <row r="28" spans="1:12">
      <c r="B28" s="1" t="s">
        <v>36</v>
      </c>
      <c r="C28" s="9">
        <f>C10+C11+C12+C15+C18+C21</f>
        <v>161548.04</v>
      </c>
      <c r="D28" s="9">
        <f t="shared" ref="D28:J28" si="3">D10+D11+D12+D15+D18+D21</f>
        <v>1611199.07</v>
      </c>
      <c r="E28" s="9">
        <f t="shared" si="3"/>
        <v>155594.29999999999</v>
      </c>
      <c r="F28" s="9">
        <f t="shared" si="3"/>
        <v>1706828.95</v>
      </c>
      <c r="G28" s="9">
        <f t="shared" si="3"/>
        <v>-5953.7400000000143</v>
      </c>
      <c r="H28" s="9">
        <f t="shared" si="3"/>
        <v>95629.879999999917</v>
      </c>
      <c r="I28" s="9">
        <f t="shared" si="3"/>
        <v>0</v>
      </c>
      <c r="J28" s="9">
        <f t="shared" si="3"/>
        <v>0</v>
      </c>
    </row>
    <row r="29" spans="1:12">
      <c r="B29" s="1" t="s">
        <v>37</v>
      </c>
      <c r="C29" s="9">
        <f>C16</f>
        <v>6718</v>
      </c>
      <c r="D29" s="9">
        <f t="shared" ref="D29:J29" si="4">D16</f>
        <v>64098.930000000008</v>
      </c>
      <c r="E29" s="9">
        <f t="shared" si="4"/>
        <v>5222.78</v>
      </c>
      <c r="F29" s="9">
        <f t="shared" si="4"/>
        <v>69812.150000000009</v>
      </c>
      <c r="G29" s="9">
        <f t="shared" si="4"/>
        <v>-1495.2200000000003</v>
      </c>
      <c r="H29" s="9">
        <f t="shared" si="4"/>
        <v>5713.2200000000012</v>
      </c>
      <c r="I29" s="9">
        <f t="shared" si="4"/>
        <v>0</v>
      </c>
      <c r="J29" s="9">
        <f t="shared" si="4"/>
        <v>0</v>
      </c>
    </row>
    <row r="30" spans="1:12">
      <c r="B30" s="1" t="s">
        <v>38</v>
      </c>
      <c r="C30" s="9">
        <f>C4+C5+C19+C20</f>
        <v>424881.25</v>
      </c>
      <c r="D30" s="9">
        <f t="shared" ref="D30:J30" si="5">D4+D5+D19+D20</f>
        <v>3084723.04</v>
      </c>
      <c r="E30" s="9">
        <f t="shared" si="5"/>
        <v>252223.64</v>
      </c>
      <c r="F30" s="9">
        <f t="shared" si="5"/>
        <v>3503133.06</v>
      </c>
      <c r="G30" s="9">
        <f t="shared" si="5"/>
        <v>-172657.61000000002</v>
      </c>
      <c r="H30" s="9">
        <f t="shared" si="5"/>
        <v>418410.01999999961</v>
      </c>
      <c r="I30" s="9">
        <f t="shared" si="5"/>
        <v>0</v>
      </c>
      <c r="J30" s="9">
        <f t="shared" si="5"/>
        <v>0</v>
      </c>
    </row>
    <row r="35" spans="3:5">
      <c r="C35">
        <v>643949.72</v>
      </c>
      <c r="D35">
        <v>475277.4</v>
      </c>
    </row>
    <row r="36" spans="3:5">
      <c r="C36">
        <v>124532</v>
      </c>
      <c r="D36">
        <v>100614.84</v>
      </c>
    </row>
    <row r="37" spans="3:5">
      <c r="C37" s="11">
        <f>C35+C36</f>
        <v>768481.72</v>
      </c>
      <c r="D37" s="11">
        <f>D35+D36</f>
        <v>575892.24</v>
      </c>
      <c r="E37" s="24">
        <f>D37-E23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C33" sqref="C33:D35"/>
    </sheetView>
  </sheetViews>
  <sheetFormatPr defaultRowHeight="12.75"/>
  <cols>
    <col min="1" max="1" width="3.7109375" customWidth="1"/>
    <col min="2" max="2" width="28.5703125" customWidth="1"/>
    <col min="3" max="3" width="12.85546875" customWidth="1"/>
    <col min="4" max="4" width="14.42578125" customWidth="1"/>
    <col min="5" max="5" width="10.140625" bestFit="1" customWidth="1"/>
    <col min="6" max="6" width="11.5703125" customWidth="1"/>
    <col min="7" max="7" width="11.28515625" customWidth="1"/>
    <col min="8" max="8" width="11.42578125" customWidth="1"/>
    <col min="9" max="9" width="10.140625" bestFit="1" customWidth="1"/>
    <col min="10" max="10" width="11.140625" customWidth="1"/>
    <col min="11" max="11" width="10.42578125" customWidth="1"/>
    <col min="12" max="12" width="12.5703125" customWidth="1"/>
    <col min="13" max="13" width="10.85546875" customWidth="1"/>
  </cols>
  <sheetData>
    <row r="1" spans="1:13" ht="22.5" customHeight="1">
      <c r="B1" s="11" t="s">
        <v>44</v>
      </c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 ht="15" customHeight="1">
      <c r="A3" s="1">
        <v>1</v>
      </c>
      <c r="B3" s="34" t="str">
        <f>ноябрь!B3</f>
        <v>Содержание общ.имущ.дома</v>
      </c>
      <c r="C3" s="8">
        <f>63188.65+13410.36</f>
        <v>76599.010000000009</v>
      </c>
      <c r="D3" s="18">
        <f>C3+ноябрь!D3</f>
        <v>799276.16000000015</v>
      </c>
      <c r="E3" s="9">
        <f>71215.11+16738.35</f>
        <v>87953.459999999992</v>
      </c>
      <c r="F3" s="18">
        <f>E3+ноябрь!F3</f>
        <v>863724.97</v>
      </c>
      <c r="G3" s="18">
        <f>E3-C3</f>
        <v>11354.449999999983</v>
      </c>
      <c r="H3" s="19">
        <f>F3-D3</f>
        <v>64448.809999999823</v>
      </c>
      <c r="I3" s="9"/>
      <c r="J3" s="19">
        <f>I3+ноябрь!J3</f>
        <v>0</v>
      </c>
      <c r="K3" s="9"/>
      <c r="L3" s="19">
        <f>K3+ноябрь!L3</f>
        <v>0</v>
      </c>
    </row>
    <row r="4" spans="1:13" ht="15" customHeight="1">
      <c r="A4" s="1">
        <f>A3+1</f>
        <v>2</v>
      </c>
      <c r="B4" s="34" t="str">
        <f>ноябрь!B4</f>
        <v>Отопление</v>
      </c>
      <c r="C4" s="8">
        <f>254425.84+53996.16</f>
        <v>308422</v>
      </c>
      <c r="D4" s="18">
        <f>C4+ноябрь!D4</f>
        <v>1793015.12</v>
      </c>
      <c r="E4" s="9">
        <f>202520.61+51291.06</f>
        <v>253811.66999999998</v>
      </c>
      <c r="F4" s="18">
        <f>E4+ноябрь!F4</f>
        <v>2034349.19</v>
      </c>
      <c r="G4" s="18">
        <f t="shared" ref="G4:H22" si="0">E4-C4</f>
        <v>-54610.330000000016</v>
      </c>
      <c r="H4" s="19">
        <f t="shared" si="0"/>
        <v>241334.06999999983</v>
      </c>
      <c r="I4" s="9"/>
      <c r="J4" s="19">
        <f>I4+ноябрь!J4</f>
        <v>0</v>
      </c>
      <c r="K4" s="8"/>
      <c r="L4" s="19">
        <f>K4+ноябрь!L4</f>
        <v>0</v>
      </c>
      <c r="M4" s="24">
        <f>L4-J4</f>
        <v>0</v>
      </c>
    </row>
    <row r="5" spans="1:13" ht="15" customHeight="1">
      <c r="A5" s="1">
        <f t="shared" ref="A5:A22" si="1">A4+1</f>
        <v>3</v>
      </c>
      <c r="B5" s="34" t="str">
        <f>ноябрь!B5</f>
        <v>Горячее водоснабжение</v>
      </c>
      <c r="C5" s="8">
        <f>126884.3+31348.18</f>
        <v>158232.48000000001</v>
      </c>
      <c r="D5" s="18">
        <f>C5+ноябрь!D5</f>
        <v>1705895.2700000003</v>
      </c>
      <c r="E5" s="9">
        <f>145377.97+42744.79</f>
        <v>188122.76</v>
      </c>
      <c r="F5" s="18">
        <f>E5+ноябрь!F5</f>
        <v>1851435.26</v>
      </c>
      <c r="G5" s="18">
        <f t="shared" si="0"/>
        <v>29890.28</v>
      </c>
      <c r="H5" s="19">
        <f t="shared" si="0"/>
        <v>145539.98999999976</v>
      </c>
      <c r="I5" s="9"/>
      <c r="J5" s="19">
        <f>I5+ноябрь!J5</f>
        <v>0</v>
      </c>
      <c r="K5" s="8"/>
      <c r="L5" s="19">
        <f>K5+ноябрь!L5</f>
        <v>0</v>
      </c>
    </row>
    <row r="6" spans="1:13" ht="15" customHeight="1">
      <c r="A6" s="1">
        <f t="shared" si="1"/>
        <v>4</v>
      </c>
      <c r="B6" s="34" t="str">
        <f>ноябрь!B6</f>
        <v>Сод.и ремонт АППЗ</v>
      </c>
      <c r="C6" s="8">
        <f>2336.35+495.88</f>
        <v>2832.23</v>
      </c>
      <c r="D6" s="18">
        <f>C6+ноябрь!D6</f>
        <v>30485.63</v>
      </c>
      <c r="E6" s="9">
        <f>2656+628.99</f>
        <v>3284.99</v>
      </c>
      <c r="F6" s="18">
        <f>E6+ноябрь!F6</f>
        <v>33540.89</v>
      </c>
      <c r="G6" s="18">
        <f t="shared" si="0"/>
        <v>452.75999999999976</v>
      </c>
      <c r="H6" s="19">
        <f t="shared" si="0"/>
        <v>3055.2599999999984</v>
      </c>
      <c r="I6" s="9"/>
      <c r="J6" s="19">
        <f>I6+ноябрь!J6</f>
        <v>0</v>
      </c>
      <c r="K6" s="8"/>
      <c r="L6" s="19">
        <f>K6+ноябрь!L6</f>
        <v>0</v>
      </c>
    </row>
    <row r="7" spans="1:13" ht="15" customHeight="1">
      <c r="A7" s="1">
        <f t="shared" si="1"/>
        <v>5</v>
      </c>
      <c r="B7" s="34" t="str">
        <f>ноябрь!B7</f>
        <v>Сод.и ремонт лифтов</v>
      </c>
      <c r="C7" s="8">
        <f>15462.07+3324.43</f>
        <v>18786.5</v>
      </c>
      <c r="D7" s="18">
        <f>C7+ноябрь!D7</f>
        <v>161666.23999999999</v>
      </c>
      <c r="E7" s="9">
        <f>17545.8+4427.12</f>
        <v>21972.92</v>
      </c>
      <c r="F7" s="18">
        <f>E7+ноябрь!F7</f>
        <v>255288.33999999997</v>
      </c>
      <c r="G7" s="18">
        <f t="shared" si="0"/>
        <v>3186.4199999999983</v>
      </c>
      <c r="H7" s="19">
        <f t="shared" si="0"/>
        <v>93622.099999999977</v>
      </c>
      <c r="I7" s="9"/>
      <c r="J7" s="19">
        <f>I7+ноябрь!J7</f>
        <v>0</v>
      </c>
      <c r="K7" s="8"/>
      <c r="L7" s="19">
        <f>K7+ноябрь!L7</f>
        <v>0</v>
      </c>
    </row>
    <row r="8" spans="1:13" ht="15" customHeight="1">
      <c r="A8" s="1">
        <f t="shared" si="1"/>
        <v>6</v>
      </c>
      <c r="B8" s="34" t="str">
        <f>ноябрь!B8</f>
        <v>Очистка мусоропроводов</v>
      </c>
      <c r="C8" s="8">
        <f>7220.79+1600.22</f>
        <v>8821.01</v>
      </c>
      <c r="D8" s="18">
        <f>C8+ноябрь!D8</f>
        <v>93094.33</v>
      </c>
      <c r="E8" s="9">
        <f>8038.49+1991.21</f>
        <v>10029.700000000001</v>
      </c>
      <c r="F8" s="18">
        <f>E8+ноябрь!F8</f>
        <v>98592.709999999992</v>
      </c>
      <c r="G8" s="18">
        <f t="shared" si="0"/>
        <v>1208.6900000000005</v>
      </c>
      <c r="H8" s="19">
        <f t="shared" si="0"/>
        <v>5498.3799999999901</v>
      </c>
      <c r="I8" s="9"/>
      <c r="J8" s="19">
        <f>I8+ноябрь!J8</f>
        <v>0</v>
      </c>
      <c r="K8" s="8"/>
      <c r="L8" s="19">
        <f>K8+ноябрь!L8</f>
        <v>0</v>
      </c>
    </row>
    <row r="9" spans="1:13" ht="15" customHeight="1">
      <c r="A9" s="1">
        <f t="shared" si="1"/>
        <v>7</v>
      </c>
      <c r="B9" s="34" t="str">
        <f>ноябрь!B9</f>
        <v>Уборка и сан.очистка зем.уч.</v>
      </c>
      <c r="C9" s="8">
        <f>9717.29+2062.29</f>
        <v>11779.580000000002</v>
      </c>
      <c r="D9" s="18">
        <f>C9+ноябрь!D9</f>
        <v>117256.45</v>
      </c>
      <c r="E9" s="9">
        <f>10889.42+2547.27</f>
        <v>13436.69</v>
      </c>
      <c r="F9" s="18">
        <f>E9+ноябрь!F9</f>
        <v>125491.88</v>
      </c>
      <c r="G9" s="18">
        <f t="shared" si="0"/>
        <v>1657.1099999999988</v>
      </c>
      <c r="H9" s="19">
        <f t="shared" si="0"/>
        <v>8235.4300000000076</v>
      </c>
      <c r="I9" s="9"/>
      <c r="J9" s="19">
        <f>I9+ноябрь!J9</f>
        <v>0</v>
      </c>
      <c r="K9" s="8"/>
      <c r="L9" s="19">
        <f>K9+ноябрь!L9</f>
        <v>0</v>
      </c>
    </row>
    <row r="10" spans="1:13" ht="15" customHeight="1">
      <c r="A10" s="1">
        <f t="shared" si="1"/>
        <v>8</v>
      </c>
      <c r="B10" s="34" t="str">
        <f>ноябрь!B10</f>
        <v>Холодная вода</v>
      </c>
      <c r="C10" s="8">
        <f>49706.55+12318.32</f>
        <v>62024.87</v>
      </c>
      <c r="D10" s="18">
        <f>C10+ноябрь!D10</f>
        <v>647808.77</v>
      </c>
      <c r="E10" s="9">
        <f>56460.25+16339.22</f>
        <v>72799.47</v>
      </c>
      <c r="F10" s="18">
        <f>E10+ноябрь!F10</f>
        <v>689429.33</v>
      </c>
      <c r="G10" s="18">
        <f t="shared" si="0"/>
        <v>10774.599999999999</v>
      </c>
      <c r="H10" s="19">
        <f t="shared" si="0"/>
        <v>41620.559999999939</v>
      </c>
      <c r="I10" s="9"/>
      <c r="J10" s="19">
        <f>I10+ноябрь!J10</f>
        <v>0</v>
      </c>
      <c r="K10" s="8"/>
      <c r="L10" s="19">
        <f>K10+ноябрь!L10</f>
        <v>0</v>
      </c>
    </row>
    <row r="11" spans="1:13" ht="15" customHeight="1">
      <c r="A11" s="1">
        <f t="shared" si="1"/>
        <v>9</v>
      </c>
      <c r="B11" s="34" t="str">
        <f>ноябрь!B11</f>
        <v>Канализир.х.воды</v>
      </c>
      <c r="C11" s="8"/>
      <c r="D11" s="18">
        <f>C11+ноябрь!D11</f>
        <v>0</v>
      </c>
      <c r="E11" s="9">
        <f>0+17.73</f>
        <v>17.73</v>
      </c>
      <c r="F11" s="18">
        <f>E11+ноябрь!F11</f>
        <v>-178.36</v>
      </c>
      <c r="G11" s="18">
        <f t="shared" si="0"/>
        <v>17.73</v>
      </c>
      <c r="H11" s="19">
        <f t="shared" si="0"/>
        <v>-178.36</v>
      </c>
      <c r="I11" s="9"/>
      <c r="J11" s="19">
        <f>I11+ноябрь!J11</f>
        <v>0</v>
      </c>
      <c r="K11" s="8"/>
      <c r="L11" s="19">
        <f>K11+ноябрь!L11</f>
        <v>0</v>
      </c>
    </row>
    <row r="12" spans="1:13" ht="15" customHeight="1">
      <c r="A12" s="1">
        <f t="shared" si="1"/>
        <v>10</v>
      </c>
      <c r="B12" s="34" t="str">
        <f>ноябрь!B12</f>
        <v>Канализир.г.воды</v>
      </c>
      <c r="C12" s="8"/>
      <c r="D12" s="18">
        <f>C12+ноябрь!D12</f>
        <v>0</v>
      </c>
      <c r="E12" s="9">
        <f>0+11.84</f>
        <v>11.84</v>
      </c>
      <c r="F12" s="18">
        <f>E12+ноябрь!F12</f>
        <v>87.58</v>
      </c>
      <c r="G12" s="18">
        <f t="shared" si="0"/>
        <v>11.84</v>
      </c>
      <c r="H12" s="19">
        <f t="shared" si="0"/>
        <v>87.58</v>
      </c>
      <c r="I12" s="9"/>
      <c r="J12" s="19">
        <f>I12+ноябрь!J12</f>
        <v>0</v>
      </c>
      <c r="K12" s="8"/>
      <c r="L12" s="19">
        <f>K12+ноябрь!L12</f>
        <v>0</v>
      </c>
    </row>
    <row r="13" spans="1:13" ht="15" customHeight="1">
      <c r="A13" s="1">
        <f t="shared" si="1"/>
        <v>11</v>
      </c>
      <c r="B13" s="34" t="str">
        <f>ноябрь!B13</f>
        <v>Тек.рем.общ.имущ.дома</v>
      </c>
      <c r="C13" s="8">
        <f>32974.84+6998.18</f>
        <v>39973.019999999997</v>
      </c>
      <c r="D13" s="18">
        <f>C13+ноябрь!D13</f>
        <v>418894.68</v>
      </c>
      <c r="E13" s="9">
        <f>37214.13+8760.14</f>
        <v>45974.27</v>
      </c>
      <c r="F13" s="18">
        <f>E13+ноябрь!F13</f>
        <v>461750.31999999995</v>
      </c>
      <c r="G13" s="18">
        <f t="shared" si="0"/>
        <v>6001.25</v>
      </c>
      <c r="H13" s="19">
        <f t="shared" si="0"/>
        <v>42855.639999999956</v>
      </c>
      <c r="I13" s="9"/>
      <c r="J13" s="19">
        <f>I13+ноябрь!J13</f>
        <v>0</v>
      </c>
      <c r="K13" s="8"/>
      <c r="L13" s="19">
        <f>K13+ноябрь!L13</f>
        <v>0</v>
      </c>
    </row>
    <row r="14" spans="1:13" ht="15" customHeight="1">
      <c r="A14" s="1">
        <f t="shared" si="1"/>
        <v>12</v>
      </c>
      <c r="B14" s="34" t="str">
        <f>ноябрь!B14</f>
        <v>Управление многокв.домом</v>
      </c>
      <c r="C14" s="8">
        <f>13646.63+2896.22</f>
        <v>16542.849999999999</v>
      </c>
      <c r="D14" s="18">
        <f>C14+ноябрь!D14</f>
        <v>169487.29</v>
      </c>
      <c r="E14" s="9">
        <f>15125.34+3471.42</f>
        <v>18596.760000000002</v>
      </c>
      <c r="F14" s="18">
        <f>E14+ноябрь!F14</f>
        <v>179108.43000000002</v>
      </c>
      <c r="G14" s="18">
        <f t="shared" si="0"/>
        <v>2053.9100000000035</v>
      </c>
      <c r="H14" s="19">
        <f t="shared" si="0"/>
        <v>9621.140000000014</v>
      </c>
      <c r="I14" s="9"/>
      <c r="J14" s="19">
        <f>I14+ноябрь!J14</f>
        <v>0</v>
      </c>
      <c r="K14" s="8"/>
      <c r="L14" s="19">
        <f>K14+ноябрь!L14</f>
        <v>0</v>
      </c>
    </row>
    <row r="15" spans="1:13" ht="15" customHeight="1">
      <c r="A15" s="1">
        <f t="shared" si="1"/>
        <v>13</v>
      </c>
      <c r="B15" s="34" t="str">
        <f>ноябрь!B15</f>
        <v>Водоотведение(кв)</v>
      </c>
      <c r="C15" s="8"/>
      <c r="D15" s="18">
        <f>C15+ноябрь!D15</f>
        <v>1002404.89</v>
      </c>
      <c r="E15" s="9"/>
      <c r="F15" s="18">
        <f>E15+ноябрь!F15</f>
        <v>1063008.71</v>
      </c>
      <c r="G15" s="18">
        <f t="shared" si="0"/>
        <v>0</v>
      </c>
      <c r="H15" s="19">
        <f t="shared" si="0"/>
        <v>60603.819999999949</v>
      </c>
      <c r="I15" s="9"/>
      <c r="J15" s="19">
        <f>I15+ноябрь!J15</f>
        <v>0</v>
      </c>
      <c r="K15" s="8"/>
      <c r="L15" s="19">
        <f>K15+ноябрь!L15</f>
        <v>0</v>
      </c>
    </row>
    <row r="16" spans="1:13" ht="15" customHeight="1">
      <c r="A16" s="1">
        <f t="shared" si="1"/>
        <v>14</v>
      </c>
      <c r="B16" s="34" t="str">
        <f>ноябрь!B16</f>
        <v>Электроснабж.на общед.нужды</v>
      </c>
      <c r="C16" s="8">
        <f>5420.84+1150.51</f>
        <v>6571.35</v>
      </c>
      <c r="D16" s="18">
        <f>C16+ноябрь!D16</f>
        <v>70670.280000000013</v>
      </c>
      <c r="E16" s="9">
        <f>6370.35+1572.28</f>
        <v>7942.63</v>
      </c>
      <c r="F16" s="18">
        <f>E16+ноябрь!F16</f>
        <v>77754.780000000013</v>
      </c>
      <c r="G16" s="18">
        <f t="shared" si="0"/>
        <v>1371.2799999999997</v>
      </c>
      <c r="H16" s="19">
        <f t="shared" si="0"/>
        <v>7084.5</v>
      </c>
      <c r="I16" s="9"/>
      <c r="J16" s="19">
        <f>I16+ноябрь!J16</f>
        <v>0</v>
      </c>
      <c r="K16" s="8"/>
      <c r="L16" s="19">
        <f>K16+ноябрь!L16</f>
        <v>0</v>
      </c>
    </row>
    <row r="17" spans="1:12" ht="15" customHeight="1">
      <c r="A17" s="1">
        <f t="shared" si="1"/>
        <v>15</v>
      </c>
      <c r="B17" s="34" t="str">
        <f>ноябрь!B17</f>
        <v>Эксплуатация общедом.ПУ</v>
      </c>
      <c r="C17" s="8">
        <f>3504.66+743.75</f>
        <v>4248.41</v>
      </c>
      <c r="D17" s="18">
        <f>C17+ноябрь!D17</f>
        <v>44497.899999999994</v>
      </c>
      <c r="E17" s="9">
        <f>3984.89+973.18</f>
        <v>4958.07</v>
      </c>
      <c r="F17" s="18">
        <f>E17+ноябрь!F17</f>
        <v>48856.130000000012</v>
      </c>
      <c r="G17" s="18">
        <f t="shared" si="0"/>
        <v>709.65999999999985</v>
      </c>
      <c r="H17" s="19">
        <f t="shared" si="0"/>
        <v>4358.2300000000178</v>
      </c>
      <c r="I17" s="9"/>
      <c r="J17" s="19">
        <f>I17+ноябрь!J17</f>
        <v>0</v>
      </c>
      <c r="K17" s="8"/>
      <c r="L17" s="19">
        <f>K17+ноябрь!L17</f>
        <v>0</v>
      </c>
    </row>
    <row r="18" spans="1:12" ht="15" customHeight="1">
      <c r="A18" s="1">
        <f t="shared" si="1"/>
        <v>16</v>
      </c>
      <c r="B18" s="34" t="str">
        <f>ноябрь!B18</f>
        <v>Водоотведение(о/д нужды)</v>
      </c>
      <c r="C18" s="8">
        <f>84971.05+21030.03</f>
        <v>106001.08</v>
      </c>
      <c r="D18" s="18">
        <f>C18+ноябрь!D18</f>
        <v>106001.08</v>
      </c>
      <c r="E18" s="9">
        <f>96856.7+28343.56</f>
        <v>125200.26</v>
      </c>
      <c r="F18" s="18">
        <f>E18+ноябрь!F18</f>
        <v>124862.76</v>
      </c>
      <c r="G18" s="18">
        <f t="shared" si="0"/>
        <v>19199.179999999993</v>
      </c>
      <c r="H18" s="19">
        <f t="shared" si="0"/>
        <v>18861.679999999993</v>
      </c>
      <c r="I18" s="9"/>
      <c r="J18" s="19">
        <f>I18+ноябрь!J18</f>
        <v>0</v>
      </c>
      <c r="K18" s="8"/>
      <c r="L18" s="19">
        <f>K18+ноябрь!L18</f>
        <v>0</v>
      </c>
    </row>
    <row r="19" spans="1:12" ht="15" customHeight="1">
      <c r="A19" s="1">
        <f t="shared" si="1"/>
        <v>17</v>
      </c>
      <c r="B19" s="34" t="str">
        <f>ноябрь!B19</f>
        <v>Отопление (о/д нужды)</v>
      </c>
      <c r="C19" s="8"/>
      <c r="D19" s="18">
        <f>C19+ноябрь!D19</f>
        <v>0</v>
      </c>
      <c r="E19" s="9">
        <f>0+12.1</f>
        <v>12.1</v>
      </c>
      <c r="F19" s="18">
        <f>E19+ноябрь!F19</f>
        <v>376.66999999999996</v>
      </c>
      <c r="G19" s="18">
        <f t="shared" si="0"/>
        <v>12.1</v>
      </c>
      <c r="H19" s="19">
        <f t="shared" si="0"/>
        <v>376.66999999999996</v>
      </c>
      <c r="I19" s="9"/>
      <c r="J19" s="19">
        <f>I19+ноябрь!J19</f>
        <v>0</v>
      </c>
      <c r="K19" s="8"/>
      <c r="L19" s="19">
        <f>K19+ноябрь!L19</f>
        <v>0</v>
      </c>
    </row>
    <row r="20" spans="1:12" ht="15" customHeight="1">
      <c r="A20" s="1">
        <f t="shared" si="1"/>
        <v>18</v>
      </c>
      <c r="B20" s="34" t="str">
        <f>ноябрь!B20</f>
        <v>Гор.водоснабж.(о/д нужды)</v>
      </c>
      <c r="C20" s="8">
        <f>3981.63+843.06+525.76</f>
        <v>5350.4500000000007</v>
      </c>
      <c r="D20" s="18">
        <f>C20+ноябрь!D20</f>
        <v>57817.58</v>
      </c>
      <c r="E20" s="9">
        <f>4534.44+1183.03+623.57</f>
        <v>6341.0399999999991</v>
      </c>
      <c r="F20" s="18">
        <f>E20+ноябрь!F20</f>
        <v>65259.509999999995</v>
      </c>
      <c r="G20" s="18">
        <f t="shared" si="0"/>
        <v>990.58999999999833</v>
      </c>
      <c r="H20" s="19">
        <f t="shared" si="0"/>
        <v>7441.929999999993</v>
      </c>
      <c r="I20" s="9"/>
      <c r="J20" s="19">
        <f>I20+ноябрь!J20</f>
        <v>0</v>
      </c>
      <c r="K20" s="8"/>
      <c r="L20" s="19">
        <f>K20+ноябрь!L20</f>
        <v>0</v>
      </c>
    </row>
    <row r="21" spans="1:12" ht="15" customHeight="1">
      <c r="A21" s="1">
        <f t="shared" si="1"/>
        <v>19</v>
      </c>
      <c r="B21" s="34" t="str">
        <f>ноябрь!B21</f>
        <v>Холодн водосн о/д нужды</v>
      </c>
      <c r="C21" s="8">
        <f>1786.87+378.8</f>
        <v>2165.67</v>
      </c>
      <c r="D21" s="18">
        <f>C21+ноябрь!D21</f>
        <v>25175.949999999997</v>
      </c>
      <c r="E21" s="9">
        <f>2038.64+446.32</f>
        <v>2484.96</v>
      </c>
      <c r="F21" s="18">
        <f>E21+ноябрь!F21</f>
        <v>30133.190000000002</v>
      </c>
      <c r="G21" s="18">
        <f t="shared" si="0"/>
        <v>319.28999999999996</v>
      </c>
      <c r="H21" s="19">
        <f t="shared" si="0"/>
        <v>4957.2400000000052</v>
      </c>
      <c r="I21" s="9"/>
      <c r="J21" s="19">
        <f>I21+ноябрь!J21</f>
        <v>0</v>
      </c>
      <c r="K21" s="8"/>
      <c r="L21" s="19">
        <f>K21+ноябрь!L21</f>
        <v>0</v>
      </c>
    </row>
    <row r="22" spans="1:12" ht="15" customHeight="1">
      <c r="A22" s="1">
        <f t="shared" si="1"/>
        <v>20</v>
      </c>
      <c r="B22" s="34">
        <f>ноябрь!B22</f>
        <v>0</v>
      </c>
      <c r="C22" s="8"/>
      <c r="D22" s="18">
        <f>C22+ноябрь!D22</f>
        <v>1541.78</v>
      </c>
      <c r="E22" s="9"/>
      <c r="F22" s="18">
        <f>E22+ноябрь!F22</f>
        <v>617.87</v>
      </c>
      <c r="G22" s="18">
        <f t="shared" si="0"/>
        <v>0</v>
      </c>
      <c r="H22" s="19">
        <f t="shared" si="0"/>
        <v>-923.91</v>
      </c>
      <c r="I22" s="9"/>
      <c r="J22" s="19">
        <f>I22+ноябрь!J22</f>
        <v>0</v>
      </c>
      <c r="K22" s="8"/>
      <c r="L22" s="19">
        <f>K22+ноябрь!L22</f>
        <v>0</v>
      </c>
    </row>
    <row r="23" spans="1:12" ht="15" customHeight="1">
      <c r="A23" s="21"/>
      <c r="B23" s="20" t="s">
        <v>12</v>
      </c>
      <c r="C23" s="18">
        <f t="shared" ref="C23:L23" si="2">SUM(C3:C22)</f>
        <v>828350.50999999989</v>
      </c>
      <c r="D23" s="18">
        <f t="shared" si="2"/>
        <v>7244989.4000000013</v>
      </c>
      <c r="E23" s="19">
        <f t="shared" si="2"/>
        <v>862951.31999999983</v>
      </c>
      <c r="F23" s="18">
        <f t="shared" si="2"/>
        <v>8003490.1599999992</v>
      </c>
      <c r="G23" s="18">
        <f t="shared" si="2"/>
        <v>34600.809999999954</v>
      </c>
      <c r="H23" s="19">
        <f t="shared" si="2"/>
        <v>758500.75999999919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4" spans="1:12" ht="6" customHeight="1"/>
    <row r="25" spans="1:12" hidden="1"/>
    <row r="26" spans="1:12" ht="16.5" customHeight="1">
      <c r="B26" s="41" t="s">
        <v>35</v>
      </c>
      <c r="C26" s="40">
        <f t="shared" ref="C26:H26" si="3">C3+C6+C7+C8+C9+C13+C14+C17</f>
        <v>179582.61000000002</v>
      </c>
      <c r="D26" s="40">
        <f t="shared" si="3"/>
        <v>1834658.68</v>
      </c>
      <c r="E26" s="40">
        <f t="shared" si="3"/>
        <v>206206.86</v>
      </c>
      <c r="F26" s="40">
        <f t="shared" si="3"/>
        <v>2066353.67</v>
      </c>
      <c r="G26" s="40">
        <f t="shared" si="3"/>
        <v>26624.249999999982</v>
      </c>
      <c r="H26" s="40">
        <f t="shared" si="3"/>
        <v>231694.98999999979</v>
      </c>
    </row>
    <row r="27" spans="1:12" ht="10.5" customHeight="1"/>
    <row r="28" spans="1:12">
      <c r="B28" s="39" t="s">
        <v>36</v>
      </c>
      <c r="C28" s="40">
        <f>C10+C11+C12+C15+C18+C21</f>
        <v>170191.62000000002</v>
      </c>
      <c r="D28" s="40">
        <f t="shared" ref="D28:J28" si="4">D10+D11+D12+D15+D18+D21</f>
        <v>1781390.6900000002</v>
      </c>
      <c r="E28" s="40">
        <f t="shared" si="4"/>
        <v>200514.25999999998</v>
      </c>
      <c r="F28" s="40">
        <f t="shared" si="4"/>
        <v>1907343.2099999997</v>
      </c>
      <c r="G28" s="40">
        <f t="shared" si="4"/>
        <v>30322.639999999992</v>
      </c>
      <c r="H28" s="40">
        <f t="shared" si="4"/>
        <v>125952.51999999989</v>
      </c>
      <c r="I28" s="40">
        <f t="shared" si="4"/>
        <v>0</v>
      </c>
      <c r="J28" s="40">
        <f t="shared" si="4"/>
        <v>0</v>
      </c>
    </row>
    <row r="29" spans="1:12">
      <c r="B29" s="39" t="s">
        <v>37</v>
      </c>
      <c r="C29" s="40">
        <f>C16</f>
        <v>6571.35</v>
      </c>
      <c r="D29" s="40">
        <f>D16</f>
        <v>70670.280000000013</v>
      </c>
      <c r="E29" s="40">
        <f t="shared" ref="E29:H29" si="5">E16</f>
        <v>7942.63</v>
      </c>
      <c r="F29" s="40">
        <f t="shared" si="5"/>
        <v>77754.780000000013</v>
      </c>
      <c r="G29" s="40">
        <f t="shared" si="5"/>
        <v>1371.2799999999997</v>
      </c>
      <c r="H29" s="40">
        <f t="shared" si="5"/>
        <v>7084.5</v>
      </c>
      <c r="I29" s="40">
        <f t="shared" ref="I29:J29" si="6">I16</f>
        <v>0</v>
      </c>
      <c r="J29" s="40">
        <f t="shared" si="6"/>
        <v>0</v>
      </c>
    </row>
    <row r="30" spans="1:12">
      <c r="B30" s="39" t="s">
        <v>38</v>
      </c>
      <c r="C30" s="40">
        <f>C4+C5+C19+C20</f>
        <v>472004.93</v>
      </c>
      <c r="D30" s="40">
        <f>D4+D5+D19+D20</f>
        <v>3556727.9700000007</v>
      </c>
      <c r="E30" s="40">
        <f t="shared" ref="E30:H30" si="7">E4+E5+E19+E20</f>
        <v>448287.56999999995</v>
      </c>
      <c r="F30" s="40">
        <f t="shared" si="7"/>
        <v>3951420.63</v>
      </c>
      <c r="G30" s="40">
        <f t="shared" si="7"/>
        <v>-23717.360000000022</v>
      </c>
      <c r="H30" s="40">
        <f t="shared" si="7"/>
        <v>394692.65999999957</v>
      </c>
      <c r="I30" s="40">
        <f t="shared" ref="I30:J30" si="8">I4+I5+I19+I20</f>
        <v>0</v>
      </c>
      <c r="J30" s="40">
        <f t="shared" si="8"/>
        <v>0</v>
      </c>
    </row>
    <row r="33" spans="3:4">
      <c r="C33" s="47">
        <v>675754.12</v>
      </c>
      <c r="D33" s="47">
        <v>681451.71</v>
      </c>
    </row>
    <row r="34" spans="3:4">
      <c r="C34" s="47">
        <v>152596.39000000001</v>
      </c>
      <c r="D34" s="47">
        <v>181499.61</v>
      </c>
    </row>
    <row r="35" spans="3:4">
      <c r="C35" s="48">
        <f>C33+C34</f>
        <v>828350.51</v>
      </c>
      <c r="D35" s="48">
        <f>D33+D34</f>
        <v>862951.32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D12" sqref="D12"/>
    </sheetView>
  </sheetViews>
  <sheetFormatPr defaultRowHeight="12.75"/>
  <cols>
    <col min="1" max="1" width="4.140625" customWidth="1"/>
    <col min="2" max="2" width="21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>
        <f>37433.35+20303.28</f>
        <v>57736.63</v>
      </c>
      <c r="D4" s="3" t="e">
        <f>#REF!+Январь!C4</f>
        <v>#REF!</v>
      </c>
      <c r="E4" s="2">
        <f>25078.04+5600.74</f>
        <v>30678.78</v>
      </c>
      <c r="F4" s="3" t="e">
        <f>#REF!+Январь!E4</f>
        <v>#REF!</v>
      </c>
      <c r="G4" s="3">
        <f>E4-C4</f>
        <v>-27057.85</v>
      </c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57736.63</v>
      </c>
      <c r="D24" s="3" t="e">
        <f t="shared" si="1"/>
        <v>#REF!</v>
      </c>
      <c r="E24" s="2">
        <f t="shared" si="1"/>
        <v>30678.78</v>
      </c>
      <c r="F24" s="3" t="e">
        <f t="shared" si="1"/>
        <v>#REF!</v>
      </c>
      <c r="G24" s="3">
        <f t="shared" si="1"/>
        <v>-27057.85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C5" sqref="C5"/>
    </sheetView>
  </sheetViews>
  <sheetFormatPr defaultRowHeight="12.75"/>
  <cols>
    <col min="1" max="1" width="3.7109375" customWidth="1"/>
    <col min="2" max="2" width="29.28515625" customWidth="1"/>
    <col min="3" max="3" width="11.85546875" customWidth="1"/>
    <col min="4" max="4" width="11.5703125" customWidth="1"/>
    <col min="5" max="5" width="11.42578125" customWidth="1"/>
    <col min="6" max="6" width="12.85546875" customWidth="1"/>
    <col min="7" max="7" width="11.42578125" customWidth="1"/>
    <col min="8" max="8" width="11.28515625" customWidth="1"/>
    <col min="9" max="9" width="11.42578125" customWidth="1"/>
    <col min="10" max="10" width="10.28515625" customWidth="1"/>
    <col min="11" max="11" width="10.140625" bestFit="1" customWidth="1"/>
    <col min="12" max="12" width="10.42578125" customWidth="1"/>
    <col min="13" max="13" width="10.7109375" bestFit="1" customWidth="1"/>
  </cols>
  <sheetData>
    <row r="1" spans="1:13">
      <c r="E1" s="11"/>
      <c r="F1" s="12" t="s">
        <v>17</v>
      </c>
      <c r="G1" s="12"/>
      <c r="I1" s="13"/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tr">
        <f>Январь!B3</f>
        <v>Содержание общ.имущ.дома</v>
      </c>
      <c r="C3" s="8">
        <f>56488.63+14605.03</f>
        <v>71093.66</v>
      </c>
      <c r="D3" s="18">
        <f>C3+Январь!D3</f>
        <v>142187.32</v>
      </c>
      <c r="E3" s="9">
        <f>46999.11+10181.39</f>
        <v>57180.5</v>
      </c>
      <c r="F3" s="18">
        <f>E3+Январь!F3</f>
        <v>123888.48</v>
      </c>
      <c r="G3" s="18">
        <f>E3-C3</f>
        <v>-13913.160000000003</v>
      </c>
      <c r="H3" s="19">
        <f>F3-D3</f>
        <v>-18298.840000000011</v>
      </c>
      <c r="I3" s="9"/>
      <c r="J3" s="19">
        <f>I3+Январь!J3</f>
        <v>0</v>
      </c>
      <c r="K3" s="8"/>
      <c r="L3" s="18">
        <f>K3+Январь!L3</f>
        <v>0</v>
      </c>
    </row>
    <row r="4" spans="1:13">
      <c r="A4" s="1">
        <f>A3+1</f>
        <v>2</v>
      </c>
      <c r="B4" s="34" t="str">
        <f>Январь!B4</f>
        <v>Отопление</v>
      </c>
      <c r="C4" s="8">
        <f>266226.45+68832.19</f>
        <v>335058.64</v>
      </c>
      <c r="D4" s="18">
        <f>C4+Январь!D4</f>
        <v>700017.76</v>
      </c>
      <c r="E4" s="9">
        <f>222015.13+48079.46</f>
        <v>270094.59000000003</v>
      </c>
      <c r="F4" s="18">
        <f>E4+Январь!F4</f>
        <v>510741.99</v>
      </c>
      <c r="G4" s="18">
        <f t="shared" ref="G4:H22" si="0">E4-C4</f>
        <v>-64964.049999999988</v>
      </c>
      <c r="H4" s="19">
        <f t="shared" si="0"/>
        <v>-189275.77000000002</v>
      </c>
      <c r="I4" s="9"/>
      <c r="J4" s="19">
        <f>I4+Январь!J4</f>
        <v>0</v>
      </c>
      <c r="K4" s="8"/>
      <c r="L4" s="18">
        <f>K4+Январь!L4</f>
        <v>0</v>
      </c>
      <c r="M4" s="24">
        <f>L4-J4</f>
        <v>0</v>
      </c>
    </row>
    <row r="5" spans="1:13">
      <c r="A5" s="1">
        <f t="shared" ref="A5:A22" si="1">A4+1</f>
        <v>3</v>
      </c>
      <c r="B5" s="34" t="str">
        <f>Январь!B5</f>
        <v>Горячее водоснабжение</v>
      </c>
      <c r="C5" s="8">
        <f>128149.34+508.01+34658.48</f>
        <v>163315.82999999999</v>
      </c>
      <c r="D5" s="18">
        <f>C5+Январь!D5</f>
        <v>317536.5</v>
      </c>
      <c r="E5" s="9">
        <f>109818.12+338.67+22979.4</f>
        <v>133136.19</v>
      </c>
      <c r="F5" s="18">
        <f>E5+Январь!F5</f>
        <v>267653.82</v>
      </c>
      <c r="G5" s="18">
        <f t="shared" si="0"/>
        <v>-30179.639999999985</v>
      </c>
      <c r="H5" s="19">
        <f t="shared" si="0"/>
        <v>-49882.679999999993</v>
      </c>
      <c r="I5" s="9"/>
      <c r="J5" s="19">
        <f>I5+Январь!J5</f>
        <v>0</v>
      </c>
      <c r="K5" s="8"/>
      <c r="L5" s="18">
        <f>K5+Январь!L5</f>
        <v>0</v>
      </c>
    </row>
    <row r="6" spans="1:13">
      <c r="A6" s="1">
        <f t="shared" si="1"/>
        <v>4</v>
      </c>
      <c r="B6" s="34" t="str">
        <f>Январь!B6</f>
        <v>Сод.и ремонт АППЗ</v>
      </c>
      <c r="C6" s="8">
        <f>2243.2+580.02</f>
        <v>2823.22</v>
      </c>
      <c r="D6" s="18">
        <f>C6+Январь!D6</f>
        <v>5646.44</v>
      </c>
      <c r="E6" s="9">
        <f>1884.48+407.97</f>
        <v>2292.4499999999998</v>
      </c>
      <c r="F6" s="18">
        <f>E6+Январь!F6</f>
        <v>5015.4699999999993</v>
      </c>
      <c r="G6" s="18">
        <f t="shared" si="0"/>
        <v>-530.77</v>
      </c>
      <c r="H6" s="19">
        <f t="shared" si="0"/>
        <v>-630.97000000000025</v>
      </c>
      <c r="I6" s="9"/>
      <c r="J6" s="19">
        <f>I6+Январь!J6</f>
        <v>0</v>
      </c>
      <c r="K6" s="8"/>
      <c r="L6" s="18">
        <f>K6+Январь!L6</f>
        <v>0</v>
      </c>
    </row>
    <row r="7" spans="1:13">
      <c r="A7" s="1">
        <f t="shared" si="1"/>
        <v>5</v>
      </c>
      <c r="B7" s="34" t="str">
        <f>Январь!B7</f>
        <v>Сод.и ремонт лифтов</v>
      </c>
      <c r="C7" s="8">
        <f>21275.46+5575.75</f>
        <v>26851.21</v>
      </c>
      <c r="D7" s="18">
        <f>C7+Январь!D7</f>
        <v>53702.42</v>
      </c>
      <c r="E7" s="9">
        <f>18407.68+3897.11</f>
        <v>22304.79</v>
      </c>
      <c r="F7" s="18">
        <f>E7+Январь!F7</f>
        <v>48009.729999999996</v>
      </c>
      <c r="G7" s="18">
        <f t="shared" si="0"/>
        <v>-4546.4199999999983</v>
      </c>
      <c r="H7" s="19">
        <f t="shared" si="0"/>
        <v>-5692.6900000000023</v>
      </c>
      <c r="I7" s="9"/>
      <c r="J7" s="19">
        <f>I7+Январь!J7</f>
        <v>0</v>
      </c>
      <c r="K7" s="8"/>
      <c r="L7" s="18">
        <f>K7+Январь!L7</f>
        <v>0</v>
      </c>
    </row>
    <row r="8" spans="1:13">
      <c r="A8" s="1">
        <f t="shared" si="1"/>
        <v>6</v>
      </c>
      <c r="B8" s="34" t="str">
        <f>Январь!B8</f>
        <v>Очистка мусоропроводов</v>
      </c>
      <c r="C8" s="8">
        <f>6627.74+1792.67</f>
        <v>8420.41</v>
      </c>
      <c r="D8" s="18">
        <f>C8+Январь!D8</f>
        <v>16840.82</v>
      </c>
      <c r="E8" s="9">
        <f>5495.16+1260.6</f>
        <v>6755.76</v>
      </c>
      <c r="F8" s="18">
        <f>E8+Январь!F8</f>
        <v>15089.66</v>
      </c>
      <c r="G8" s="18">
        <f t="shared" si="0"/>
        <v>-1664.6499999999996</v>
      </c>
      <c r="H8" s="19">
        <f t="shared" si="0"/>
        <v>-1751.1599999999999</v>
      </c>
      <c r="I8" s="9"/>
      <c r="J8" s="19">
        <f>I8+Январь!J8</f>
        <v>0</v>
      </c>
      <c r="K8" s="8"/>
      <c r="L8" s="18">
        <f>K8+Январь!L8</f>
        <v>0</v>
      </c>
    </row>
    <row r="9" spans="1:13">
      <c r="A9" s="1">
        <f t="shared" si="1"/>
        <v>7</v>
      </c>
      <c r="B9" s="34" t="str">
        <f>Январь!B9</f>
        <v>Уборка и сан.очистка зем.уч.</v>
      </c>
      <c r="C9" s="8">
        <f>7749.33+2003.53</f>
        <v>9752.86</v>
      </c>
      <c r="D9" s="18">
        <f>C9+Январь!D9</f>
        <v>19505.72</v>
      </c>
      <c r="E9" s="9">
        <f>6506.58+1408.99</f>
        <v>7915.57</v>
      </c>
      <c r="F9" s="18">
        <f>E9+Январь!F9</f>
        <v>17277.91</v>
      </c>
      <c r="G9" s="18">
        <f t="shared" si="0"/>
        <v>-1837.2900000000009</v>
      </c>
      <c r="H9" s="19">
        <f t="shared" si="0"/>
        <v>-2227.8100000000013</v>
      </c>
      <c r="I9" s="9"/>
      <c r="J9" s="19">
        <f>I9+Январь!J9</f>
        <v>0</v>
      </c>
      <c r="K9" s="8"/>
      <c r="L9" s="18">
        <f>K9+Январь!L9</f>
        <v>0</v>
      </c>
    </row>
    <row r="10" spans="1:13">
      <c r="A10" s="1">
        <f t="shared" si="1"/>
        <v>8</v>
      </c>
      <c r="B10" s="34" t="str">
        <f>Январь!B10</f>
        <v>Холодная вода</v>
      </c>
      <c r="C10" s="8">
        <f>46533.74+12847.27</f>
        <v>59381.009999999995</v>
      </c>
      <c r="D10" s="18">
        <f>C10+Январь!D10</f>
        <v>115593.01999999999</v>
      </c>
      <c r="E10" s="9">
        <f>39283.7+8611.01</f>
        <v>47894.71</v>
      </c>
      <c r="F10" s="18">
        <f>E10+Январь!F10</f>
        <v>96084.489999999991</v>
      </c>
      <c r="G10" s="18">
        <f t="shared" si="0"/>
        <v>-11486.299999999996</v>
      </c>
      <c r="H10" s="19">
        <f t="shared" si="0"/>
        <v>-19508.53</v>
      </c>
      <c r="I10" s="9"/>
      <c r="J10" s="19">
        <f>I10+Январь!J10</f>
        <v>0</v>
      </c>
      <c r="K10" s="8"/>
      <c r="L10" s="18">
        <f>K10+Январь!L10</f>
        <v>0</v>
      </c>
    </row>
    <row r="11" spans="1:13">
      <c r="A11" s="1">
        <f t="shared" si="1"/>
        <v>9</v>
      </c>
      <c r="B11" s="34" t="str">
        <f>Январь!B11</f>
        <v>Канализир.х.воды</v>
      </c>
      <c r="C11" s="8">
        <f>0</f>
        <v>0</v>
      </c>
      <c r="D11" s="18">
        <f>C11+Январь!D11</f>
        <v>0</v>
      </c>
      <c r="E11" s="9">
        <f>0</f>
        <v>0</v>
      </c>
      <c r="F11" s="18">
        <f>E11+Январь!F11</f>
        <v>38.409999999999997</v>
      </c>
      <c r="G11" s="18">
        <f t="shared" si="0"/>
        <v>0</v>
      </c>
      <c r="H11" s="19">
        <f t="shared" si="0"/>
        <v>38.409999999999997</v>
      </c>
      <c r="I11" s="9"/>
      <c r="J11" s="19">
        <f>I11+Январь!J11</f>
        <v>0</v>
      </c>
      <c r="K11" s="8"/>
      <c r="L11" s="18">
        <f>K11+Январь!L11</f>
        <v>0</v>
      </c>
    </row>
    <row r="12" spans="1:13">
      <c r="A12" s="1">
        <f t="shared" si="1"/>
        <v>10</v>
      </c>
      <c r="B12" s="34" t="str">
        <f>Январь!B12</f>
        <v>Канализир.г.воды</v>
      </c>
      <c r="C12" s="8">
        <f>0</f>
        <v>0</v>
      </c>
      <c r="D12" s="18">
        <f>C12+Январь!D12</f>
        <v>0</v>
      </c>
      <c r="E12" s="9">
        <f>0</f>
        <v>0</v>
      </c>
      <c r="F12" s="18">
        <f>E12+Январь!F12</f>
        <v>26.18</v>
      </c>
      <c r="G12" s="18">
        <f t="shared" si="0"/>
        <v>0</v>
      </c>
      <c r="H12" s="19">
        <f t="shared" si="0"/>
        <v>26.18</v>
      </c>
      <c r="I12" s="9"/>
      <c r="J12" s="19">
        <f>I12+Январь!J12</f>
        <v>0</v>
      </c>
      <c r="K12" s="8"/>
      <c r="L12" s="18">
        <f>K12+Январь!L12</f>
        <v>0</v>
      </c>
    </row>
    <row r="13" spans="1:13">
      <c r="A13" s="1">
        <f t="shared" si="1"/>
        <v>11</v>
      </c>
      <c r="B13" s="34" t="str">
        <f>Январь!B13</f>
        <v>Тек.рем.общ.имущ.дома</v>
      </c>
      <c r="C13" s="8">
        <f>29773.78+7697.93</f>
        <v>37471.71</v>
      </c>
      <c r="D13" s="18">
        <f>C13+Январь!D13</f>
        <v>74943.42</v>
      </c>
      <c r="E13" s="9">
        <f>25142.79+5397.77</f>
        <v>30540.560000000001</v>
      </c>
      <c r="F13" s="18">
        <f>E13+Январь!F13</f>
        <v>68996.39</v>
      </c>
      <c r="G13" s="18">
        <f t="shared" si="0"/>
        <v>-6931.1499999999978</v>
      </c>
      <c r="H13" s="19">
        <f t="shared" si="0"/>
        <v>-5947.0299999999988</v>
      </c>
      <c r="I13" s="9"/>
      <c r="J13" s="19">
        <f>I13+Январь!J13</f>
        <v>0</v>
      </c>
      <c r="K13" s="8"/>
      <c r="L13" s="18">
        <f>K13+Январь!L13</f>
        <v>0</v>
      </c>
    </row>
    <row r="14" spans="1:13">
      <c r="A14" s="1">
        <f t="shared" si="1"/>
        <v>12</v>
      </c>
      <c r="B14" s="34" t="str">
        <f>Январь!B14</f>
        <v>Управление многокв.домом</v>
      </c>
      <c r="C14" s="8">
        <f>11675.03+3018.5</f>
        <v>14693.53</v>
      </c>
      <c r="D14" s="18">
        <f>C14+Январь!D14</f>
        <v>29387.06</v>
      </c>
      <c r="E14" s="9">
        <f>9772.49+2078.58</f>
        <v>11851.07</v>
      </c>
      <c r="F14" s="18">
        <f>E14+Январь!F14</f>
        <v>25392.989999999998</v>
      </c>
      <c r="G14" s="18">
        <f t="shared" si="0"/>
        <v>-2842.4600000000009</v>
      </c>
      <c r="H14" s="19">
        <f t="shared" si="0"/>
        <v>-3994.0700000000033</v>
      </c>
      <c r="I14" s="9"/>
      <c r="J14" s="19">
        <f>I14+Январь!J14</f>
        <v>0</v>
      </c>
      <c r="K14" s="8"/>
      <c r="L14" s="18">
        <f>K14+Январь!L14</f>
        <v>0</v>
      </c>
    </row>
    <row r="15" spans="1:13">
      <c r="A15" s="1">
        <f t="shared" si="1"/>
        <v>13</v>
      </c>
      <c r="B15" s="34" t="str">
        <f>Январь!B15</f>
        <v>Водоотведение(кв)</v>
      </c>
      <c r="C15" s="8">
        <f>80016.44+21907.18</f>
        <v>101923.62</v>
      </c>
      <c r="D15" s="18">
        <f>C15+Январь!D15</f>
        <v>198299.38</v>
      </c>
      <c r="E15" s="9">
        <f>68102.84+14616.34</f>
        <v>82719.179999999993</v>
      </c>
      <c r="F15" s="18">
        <f>E15+Январь!F15</f>
        <v>166847.04999999999</v>
      </c>
      <c r="G15" s="18">
        <f t="shared" si="0"/>
        <v>-19204.440000000002</v>
      </c>
      <c r="H15" s="19">
        <f t="shared" si="0"/>
        <v>-31452.330000000016</v>
      </c>
      <c r="I15" s="9"/>
      <c r="J15" s="19">
        <f>I15+Январь!J15</f>
        <v>0</v>
      </c>
      <c r="K15" s="8"/>
      <c r="L15" s="18">
        <f>K15+Январь!L15</f>
        <v>0</v>
      </c>
    </row>
    <row r="16" spans="1:13">
      <c r="A16" s="1">
        <f t="shared" si="1"/>
        <v>14</v>
      </c>
      <c r="B16" s="34" t="str">
        <f>Январь!B16</f>
        <v>Электроснабж.на общед.нужды</v>
      </c>
      <c r="C16" s="8">
        <f>5932.82+1533.93</f>
        <v>7466.75</v>
      </c>
      <c r="D16" s="18">
        <f>C16+Январь!D16</f>
        <v>14457.41</v>
      </c>
      <c r="E16" s="9">
        <f>4682.36+970.82</f>
        <v>5653.1799999999994</v>
      </c>
      <c r="F16" s="18">
        <f>E16+Январь!F16</f>
        <v>12514.4</v>
      </c>
      <c r="G16" s="18">
        <f t="shared" si="0"/>
        <v>-1813.5700000000006</v>
      </c>
      <c r="H16" s="19">
        <f t="shared" si="0"/>
        <v>-1943.0100000000002</v>
      </c>
      <c r="I16" s="9"/>
      <c r="J16" s="19">
        <f>I16+Январь!J16</f>
        <v>0</v>
      </c>
      <c r="K16" s="8"/>
      <c r="L16" s="18">
        <f>K16+Январь!L16</f>
        <v>0</v>
      </c>
    </row>
    <row r="17" spans="1:12">
      <c r="A17" s="1">
        <f t="shared" si="1"/>
        <v>15</v>
      </c>
      <c r="B17" s="34" t="str">
        <f>Январь!B17</f>
        <v>Эксплуатация общедом.ПУ</v>
      </c>
      <c r="C17" s="8">
        <f>3160.96+817.2</f>
        <v>3978.16</v>
      </c>
      <c r="D17" s="18">
        <f>C17+Январь!D17</f>
        <v>7956.32</v>
      </c>
      <c r="E17" s="9">
        <f>2661.74+575.39</f>
        <v>3237.1299999999997</v>
      </c>
      <c r="F17" s="18">
        <f>E17+Январь!F17</f>
        <v>7151.57</v>
      </c>
      <c r="G17" s="18">
        <f t="shared" si="0"/>
        <v>-741.0300000000002</v>
      </c>
      <c r="H17" s="19">
        <f t="shared" si="0"/>
        <v>-804.75</v>
      </c>
      <c r="I17" s="9"/>
      <c r="J17" s="19">
        <f>I17+Январь!J17</f>
        <v>0</v>
      </c>
      <c r="K17" s="8"/>
      <c r="L17" s="18">
        <f>K17+Январь!L17</f>
        <v>0</v>
      </c>
    </row>
    <row r="18" spans="1:12">
      <c r="A18" s="1">
        <f t="shared" si="1"/>
        <v>16</v>
      </c>
      <c r="B18" s="34" t="str">
        <f>Январь!B18</f>
        <v>Водоотведение(о/д нужды)</v>
      </c>
      <c r="C18" s="8">
        <v>0</v>
      </c>
      <c r="D18" s="18">
        <f>C18+Январь!D18</f>
        <v>0</v>
      </c>
      <c r="E18" s="9">
        <v>0</v>
      </c>
      <c r="F18" s="18">
        <f>E18+Январь!F18</f>
        <v>3.19</v>
      </c>
      <c r="G18" s="18">
        <f t="shared" si="0"/>
        <v>0</v>
      </c>
      <c r="H18" s="19">
        <f t="shared" si="0"/>
        <v>3.19</v>
      </c>
      <c r="I18" s="9"/>
      <c r="J18" s="19">
        <f>I18+Январь!J18</f>
        <v>0</v>
      </c>
      <c r="K18" s="8"/>
      <c r="L18" s="18">
        <f>K18+Январь!L18</f>
        <v>0</v>
      </c>
    </row>
    <row r="19" spans="1:12">
      <c r="A19" s="1">
        <f t="shared" si="1"/>
        <v>17</v>
      </c>
      <c r="B19" s="34" t="str">
        <f>Январь!B19</f>
        <v>Отопление (о/д нужды)</v>
      </c>
      <c r="C19" s="8">
        <f>0</f>
        <v>0</v>
      </c>
      <c r="D19" s="18">
        <f>C19+Январь!D19</f>
        <v>0</v>
      </c>
      <c r="E19" s="9">
        <f>0</f>
        <v>0</v>
      </c>
      <c r="F19" s="18">
        <f>E19+Январь!F19</f>
        <v>42.2</v>
      </c>
      <c r="G19" s="18">
        <f t="shared" si="0"/>
        <v>0</v>
      </c>
      <c r="H19" s="19">
        <f t="shared" si="0"/>
        <v>42.2</v>
      </c>
      <c r="I19" s="9"/>
      <c r="J19" s="19">
        <f>I19+Январь!J19</f>
        <v>0</v>
      </c>
      <c r="K19" s="8"/>
      <c r="L19" s="18">
        <f>K19+Январь!L19</f>
        <v>0</v>
      </c>
    </row>
    <row r="20" spans="1:12">
      <c r="A20" s="1">
        <f t="shared" si="1"/>
        <v>18</v>
      </c>
      <c r="B20" s="34" t="str">
        <f>Январь!B20</f>
        <v>Гор.водоснабж.(о/д нужды)</v>
      </c>
      <c r="C20" s="8">
        <f>4977.61+1288.42</f>
        <v>6266.03</v>
      </c>
      <c r="D20" s="18">
        <f>C20+Январь!D20</f>
        <v>12532.06</v>
      </c>
      <c r="E20" s="9">
        <f>4158.69+891.22</f>
        <v>5049.91</v>
      </c>
      <c r="F20" s="18">
        <f>E20+Январь!F20</f>
        <v>10741.54</v>
      </c>
      <c r="G20" s="18">
        <f t="shared" si="0"/>
        <v>-1216.1199999999999</v>
      </c>
      <c r="H20" s="19">
        <f t="shared" si="0"/>
        <v>-1790.5199999999986</v>
      </c>
      <c r="I20" s="9"/>
      <c r="J20" s="19">
        <f>I20+Январь!J20</f>
        <v>0</v>
      </c>
      <c r="K20" s="8"/>
      <c r="L20" s="18">
        <f>K20+Январь!L20</f>
        <v>0</v>
      </c>
    </row>
    <row r="21" spans="1:12">
      <c r="A21" s="1">
        <f t="shared" si="1"/>
        <v>19</v>
      </c>
      <c r="B21" s="34" t="str">
        <f>Январь!B21</f>
        <v>Холодн водосн о/д нужды</v>
      </c>
      <c r="C21" s="8">
        <f>2152.75+556.19</f>
        <v>2708.94</v>
      </c>
      <c r="D21" s="18">
        <f>C21+Январь!D21</f>
        <v>5417.88</v>
      </c>
      <c r="E21" s="9">
        <f>2551.8+614.53</f>
        <v>3166.33</v>
      </c>
      <c r="F21" s="18">
        <f>E21+Январь!F21</f>
        <v>3876.71</v>
      </c>
      <c r="G21" s="18">
        <f t="shared" si="0"/>
        <v>457.38999999999987</v>
      </c>
      <c r="H21" s="19">
        <f t="shared" si="0"/>
        <v>-1541.17</v>
      </c>
      <c r="I21" s="9"/>
      <c r="J21" s="19">
        <f>I21+Январь!J21</f>
        <v>0</v>
      </c>
      <c r="K21" s="8"/>
      <c r="L21" s="18">
        <f>K21+Январь!L21</f>
        <v>0</v>
      </c>
    </row>
    <row r="22" spans="1:12">
      <c r="A22" s="1">
        <f t="shared" si="1"/>
        <v>20</v>
      </c>
      <c r="B22" s="34">
        <f>Январь!B22</f>
        <v>0</v>
      </c>
      <c r="C22" s="8">
        <f>0</f>
        <v>0</v>
      </c>
      <c r="D22" s="18">
        <f>C22+Январь!D22</f>
        <v>0</v>
      </c>
      <c r="E22" s="9">
        <f>0</f>
        <v>0</v>
      </c>
      <c r="F22" s="18">
        <f>E22+Январь!F22</f>
        <v>0</v>
      </c>
      <c r="G22" s="18">
        <f t="shared" si="0"/>
        <v>0</v>
      </c>
      <c r="H22" s="19">
        <f t="shared" si="0"/>
        <v>0</v>
      </c>
      <c r="I22" s="9"/>
      <c r="J22" s="19">
        <f>I22+Январь!J22</f>
        <v>0</v>
      </c>
      <c r="K22" s="8"/>
      <c r="L22" s="18">
        <f>K22+Январь!L22</f>
        <v>0</v>
      </c>
    </row>
    <row r="23" spans="1:12">
      <c r="A23" s="26"/>
      <c r="B23" s="25" t="s">
        <v>12</v>
      </c>
      <c r="C23" s="22">
        <f t="shared" ref="C23:L23" si="2">SUM(C3:C22)</f>
        <v>851205.58</v>
      </c>
      <c r="D23" s="22">
        <f t="shared" si="2"/>
        <v>1714023.5299999998</v>
      </c>
      <c r="E23" s="23">
        <f t="shared" si="2"/>
        <v>689791.92000000016</v>
      </c>
      <c r="F23" s="22">
        <f t="shared" si="2"/>
        <v>1379392.1799999997</v>
      </c>
      <c r="G23" s="22">
        <f t="shared" si="2"/>
        <v>-161413.65999999995</v>
      </c>
      <c r="H23" s="23">
        <f t="shared" si="2"/>
        <v>-334631.35000000015</v>
      </c>
      <c r="I23" s="23">
        <f t="shared" si="2"/>
        <v>0</v>
      </c>
      <c r="J23" s="23">
        <f t="shared" si="2"/>
        <v>0</v>
      </c>
      <c r="K23" s="22">
        <f t="shared" si="2"/>
        <v>0</v>
      </c>
      <c r="L23" s="22">
        <f t="shared" si="2"/>
        <v>0</v>
      </c>
    </row>
    <row r="25" spans="1:12" ht="8.25" customHeight="1"/>
    <row r="26" spans="1:12" hidden="1"/>
    <row r="27" spans="1:12" hidden="1"/>
    <row r="28" spans="1:12">
      <c r="B28" s="1" t="s">
        <v>36</v>
      </c>
      <c r="C28" s="9">
        <f>C10+C11+C12+C15+C18+C21</f>
        <v>164013.57</v>
      </c>
      <c r="D28" s="9">
        <f t="shared" ref="D28:J28" si="3">D10+D11+D12+D15+D18+D21</f>
        <v>319310.28000000003</v>
      </c>
      <c r="E28" s="9">
        <f t="shared" si="3"/>
        <v>133780.21999999997</v>
      </c>
      <c r="F28" s="9">
        <f t="shared" si="3"/>
        <v>266876.03000000003</v>
      </c>
      <c r="G28" s="9">
        <f t="shared" si="3"/>
        <v>-30233.35</v>
      </c>
      <c r="H28" s="9">
        <f t="shared" si="3"/>
        <v>-52434.250000000015</v>
      </c>
      <c r="I28" s="9">
        <f t="shared" si="3"/>
        <v>0</v>
      </c>
      <c r="J28" s="9">
        <f t="shared" si="3"/>
        <v>0</v>
      </c>
    </row>
    <row r="29" spans="1:12">
      <c r="B29" s="1" t="s">
        <v>37</v>
      </c>
      <c r="C29" s="9">
        <f>C16</f>
        <v>7466.75</v>
      </c>
      <c r="D29" s="9">
        <f t="shared" ref="D29:J29" si="4">D16</f>
        <v>14457.41</v>
      </c>
      <c r="E29" s="9">
        <f t="shared" si="4"/>
        <v>5653.1799999999994</v>
      </c>
      <c r="F29" s="9">
        <f t="shared" si="4"/>
        <v>12514.4</v>
      </c>
      <c r="G29" s="9">
        <f t="shared" si="4"/>
        <v>-1813.5700000000006</v>
      </c>
      <c r="H29" s="9">
        <f t="shared" si="4"/>
        <v>-1943.0100000000002</v>
      </c>
      <c r="I29" s="9">
        <f t="shared" si="4"/>
        <v>0</v>
      </c>
      <c r="J29" s="9">
        <f t="shared" si="4"/>
        <v>0</v>
      </c>
    </row>
    <row r="30" spans="1:12">
      <c r="B30" s="1" t="s">
        <v>38</v>
      </c>
      <c r="C30" s="9">
        <f>C4+C5+C19+C20</f>
        <v>504640.5</v>
      </c>
      <c r="D30" s="9">
        <f t="shared" ref="D30:J30" si="5">D4+D5+D19+D20</f>
        <v>1030086.3200000001</v>
      </c>
      <c r="E30" s="9">
        <f t="shared" si="5"/>
        <v>408280.69</v>
      </c>
      <c r="F30" s="9">
        <f t="shared" si="5"/>
        <v>789179.55</v>
      </c>
      <c r="G30" s="9">
        <f t="shared" si="5"/>
        <v>-96359.809999999969</v>
      </c>
      <c r="H30" s="9">
        <f t="shared" si="5"/>
        <v>-240906.77</v>
      </c>
      <c r="I30" s="9">
        <f t="shared" si="5"/>
        <v>0</v>
      </c>
      <c r="J30" s="9">
        <f t="shared" si="5"/>
        <v>0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C41" sqref="C41"/>
    </sheetView>
  </sheetViews>
  <sheetFormatPr defaultRowHeight="12.75"/>
  <cols>
    <col min="1" max="1" width="3.5703125" customWidth="1"/>
    <col min="2" max="2" width="29.5703125" customWidth="1"/>
    <col min="3" max="3" width="11.7109375" customWidth="1"/>
    <col min="4" max="4" width="12" customWidth="1"/>
    <col min="5" max="5" width="12.42578125" customWidth="1"/>
    <col min="6" max="6" width="11.42578125" customWidth="1"/>
    <col min="7" max="8" width="11.5703125" customWidth="1"/>
    <col min="9" max="9" width="10.42578125" customWidth="1"/>
    <col min="10" max="10" width="11.7109375" customWidth="1"/>
    <col min="11" max="11" width="10.85546875" customWidth="1"/>
    <col min="12" max="12" width="10.5703125" customWidth="1"/>
    <col min="13" max="13" width="10.7109375" bestFit="1" customWidth="1"/>
  </cols>
  <sheetData>
    <row r="1" spans="1:13">
      <c r="E1" s="11"/>
      <c r="F1" s="12" t="s">
        <v>17</v>
      </c>
      <c r="G1" s="12"/>
      <c r="I1" s="13"/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tr">
        <f>февраль!B3</f>
        <v>Содержание общ.имущ.дома</v>
      </c>
      <c r="C3" s="8">
        <v>69555.899999999994</v>
      </c>
      <c r="D3" s="18">
        <f>C3+февраль!D3</f>
        <v>211743.22</v>
      </c>
      <c r="E3" s="9">
        <v>61685.83</v>
      </c>
      <c r="F3" s="18">
        <f>E3+февраль!F3</f>
        <v>185574.31</v>
      </c>
      <c r="G3" s="18">
        <f>E3-C3</f>
        <v>-7870.0699999999924</v>
      </c>
      <c r="H3" s="19">
        <f>F3-D3</f>
        <v>-26168.910000000003</v>
      </c>
      <c r="I3" s="9"/>
      <c r="J3" s="19">
        <f>I3+февраль!J3</f>
        <v>0</v>
      </c>
      <c r="K3" s="8"/>
      <c r="L3" s="18">
        <f>K3+февраль!L3</f>
        <v>0</v>
      </c>
    </row>
    <row r="4" spans="1:13">
      <c r="A4" s="1">
        <f>A3+1</f>
        <v>2</v>
      </c>
      <c r="B4" s="34" t="str">
        <f>февраль!B4</f>
        <v>Отопление</v>
      </c>
      <c r="C4" s="8">
        <v>232181.26</v>
      </c>
      <c r="D4" s="18">
        <f>C4+февраль!D4</f>
        <v>932199.02</v>
      </c>
      <c r="E4" s="9">
        <v>288092.82</v>
      </c>
      <c r="F4" s="18">
        <f>E4+февраль!F4</f>
        <v>798834.81</v>
      </c>
      <c r="G4" s="18">
        <f t="shared" ref="G4:H22" si="0">E4-C4</f>
        <v>55911.56</v>
      </c>
      <c r="H4" s="19">
        <f t="shared" si="0"/>
        <v>-133364.20999999996</v>
      </c>
      <c r="I4" s="9"/>
      <c r="J4" s="19">
        <f>I4+февраль!J4</f>
        <v>0</v>
      </c>
      <c r="K4" s="8"/>
      <c r="L4" s="18">
        <f>K4+февраль!L4</f>
        <v>0</v>
      </c>
      <c r="M4" s="24">
        <f>L4-J4</f>
        <v>0</v>
      </c>
    </row>
    <row r="5" spans="1:13">
      <c r="A5" s="1">
        <f t="shared" ref="A5:A22" si="1">A4+1</f>
        <v>3</v>
      </c>
      <c r="B5" s="34" t="str">
        <f>февраль!B5</f>
        <v>Горячее водоснабжение</v>
      </c>
      <c r="C5" s="8">
        <v>157043.07</v>
      </c>
      <c r="D5" s="18">
        <f>C5+февраль!D5</f>
        <v>474579.57</v>
      </c>
      <c r="E5" s="9">
        <v>140467.12</v>
      </c>
      <c r="F5" s="18">
        <f>E5+февраль!F5</f>
        <v>408120.94</v>
      </c>
      <c r="G5" s="18">
        <f t="shared" si="0"/>
        <v>-16575.950000000012</v>
      </c>
      <c r="H5" s="19">
        <f t="shared" si="0"/>
        <v>-66458.63</v>
      </c>
      <c r="I5" s="9"/>
      <c r="J5" s="19">
        <f>I5+февраль!J5</f>
        <v>0</v>
      </c>
      <c r="K5" s="8"/>
      <c r="L5" s="18">
        <f>K5+февраль!L5</f>
        <v>0</v>
      </c>
    </row>
    <row r="6" spans="1:13">
      <c r="A6" s="1">
        <f t="shared" si="1"/>
        <v>4</v>
      </c>
      <c r="B6" s="34" t="str">
        <f>февраль!B6</f>
        <v>Сод.и ремонт АППЗ</v>
      </c>
      <c r="C6" s="8">
        <v>2759.04</v>
      </c>
      <c r="D6" s="18">
        <f>C6+февраль!D6</f>
        <v>8405.48</v>
      </c>
      <c r="E6" s="9">
        <v>2454.46</v>
      </c>
      <c r="F6" s="18">
        <f>E6+февраль!F6</f>
        <v>7469.9299999999994</v>
      </c>
      <c r="G6" s="18">
        <f t="shared" si="0"/>
        <v>-304.57999999999993</v>
      </c>
      <c r="H6" s="19">
        <f t="shared" si="0"/>
        <v>-935.55000000000018</v>
      </c>
      <c r="I6" s="9"/>
      <c r="J6" s="19">
        <f>I6+февраль!J6</f>
        <v>0</v>
      </c>
      <c r="K6" s="8"/>
      <c r="L6" s="18">
        <f>K6+февраль!L6</f>
        <v>0</v>
      </c>
    </row>
    <row r="7" spans="1:13">
      <c r="A7" s="1">
        <f t="shared" si="1"/>
        <v>5</v>
      </c>
      <c r="B7" s="34" t="str">
        <f>февраль!B7</f>
        <v>Сод.и ремонт лифтов</v>
      </c>
      <c r="C7" s="8">
        <v>26258.89</v>
      </c>
      <c r="D7" s="18">
        <f>C7+февраль!D7</f>
        <v>79961.31</v>
      </c>
      <c r="E7" s="9">
        <v>23578.35</v>
      </c>
      <c r="F7" s="18">
        <f>E7+февраль!F7</f>
        <v>71588.079999999987</v>
      </c>
      <c r="G7" s="18">
        <f t="shared" si="0"/>
        <v>-2680.5400000000009</v>
      </c>
      <c r="H7" s="19">
        <f t="shared" si="0"/>
        <v>-8373.2300000000105</v>
      </c>
      <c r="I7" s="9"/>
      <c r="J7" s="19">
        <f>I7+февраль!J7</f>
        <v>0</v>
      </c>
      <c r="K7" s="8"/>
      <c r="L7" s="18">
        <f>K7+февраль!L7</f>
        <v>0</v>
      </c>
    </row>
    <row r="8" spans="1:13">
      <c r="A8" s="1">
        <f t="shared" si="1"/>
        <v>6</v>
      </c>
      <c r="B8" s="34" t="str">
        <f>февраль!B8</f>
        <v>Очистка мусоропроводов</v>
      </c>
      <c r="C8" s="8">
        <v>8222.2900000000009</v>
      </c>
      <c r="D8" s="18">
        <f>C8+февраль!D8</f>
        <v>25063.11</v>
      </c>
      <c r="E8" s="9">
        <v>7488.11</v>
      </c>
      <c r="F8" s="18">
        <f>E8+февраль!F8</f>
        <v>22577.77</v>
      </c>
      <c r="G8" s="18">
        <f t="shared" si="0"/>
        <v>-734.1800000000012</v>
      </c>
      <c r="H8" s="19">
        <f t="shared" si="0"/>
        <v>-2485.34</v>
      </c>
      <c r="I8" s="9"/>
      <c r="J8" s="19">
        <f>I8+февраль!J8</f>
        <v>0</v>
      </c>
      <c r="K8" s="8"/>
      <c r="L8" s="18">
        <f>K8+февраль!L8</f>
        <v>0</v>
      </c>
    </row>
    <row r="9" spans="1:13">
      <c r="A9" s="1">
        <f t="shared" si="1"/>
        <v>7</v>
      </c>
      <c r="B9" s="34" t="str">
        <f>февраль!B9</f>
        <v>Уборка и сан.очистка зем.уч.</v>
      </c>
      <c r="C9" s="8">
        <v>9531.34</v>
      </c>
      <c r="D9" s="18">
        <f>C9+февраль!D9</f>
        <v>29037.06</v>
      </c>
      <c r="E9" s="9">
        <v>8474.2199999999993</v>
      </c>
      <c r="F9" s="18">
        <f>E9+февраль!F9</f>
        <v>25752.129999999997</v>
      </c>
      <c r="G9" s="18">
        <f t="shared" si="0"/>
        <v>-1057.1200000000008</v>
      </c>
      <c r="H9" s="19">
        <f t="shared" si="0"/>
        <v>-3284.9300000000039</v>
      </c>
      <c r="I9" s="9"/>
      <c r="J9" s="19">
        <f>I9+февраль!J9</f>
        <v>0</v>
      </c>
      <c r="K9" s="8"/>
      <c r="L9" s="18">
        <f>K9+февраль!L9</f>
        <v>0</v>
      </c>
    </row>
    <row r="10" spans="1:13">
      <c r="A10" s="1">
        <f t="shared" si="1"/>
        <v>8</v>
      </c>
      <c r="B10" s="34" t="str">
        <f>февраль!B10</f>
        <v>Холодная вода</v>
      </c>
      <c r="C10" s="8">
        <v>56834.99</v>
      </c>
      <c r="D10" s="18">
        <f>C10+февраль!D10</f>
        <v>172428.00999999998</v>
      </c>
      <c r="E10" s="9">
        <v>50749.88</v>
      </c>
      <c r="F10" s="18">
        <f>E10+февраль!F10</f>
        <v>146834.37</v>
      </c>
      <c r="G10" s="18">
        <f t="shared" si="0"/>
        <v>-6085.1100000000006</v>
      </c>
      <c r="H10" s="19">
        <f t="shared" si="0"/>
        <v>-25593.639999999985</v>
      </c>
      <c r="I10" s="9"/>
      <c r="J10" s="19">
        <f>I10+февраль!J10</f>
        <v>0</v>
      </c>
      <c r="K10" s="8"/>
      <c r="L10" s="18">
        <f>K10+февраль!L10</f>
        <v>0</v>
      </c>
    </row>
    <row r="11" spans="1:13">
      <c r="A11" s="1">
        <f t="shared" si="1"/>
        <v>9</v>
      </c>
      <c r="B11" s="34" t="str">
        <f>февраль!B11</f>
        <v>Канализир.х.воды</v>
      </c>
      <c r="C11" s="8">
        <v>0</v>
      </c>
      <c r="D11" s="18">
        <f>C11+февраль!D11</f>
        <v>0</v>
      </c>
      <c r="E11" s="9">
        <v>0</v>
      </c>
      <c r="F11" s="18">
        <f>E11+февраль!F11</f>
        <v>38.409999999999997</v>
      </c>
      <c r="G11" s="18">
        <f t="shared" si="0"/>
        <v>0</v>
      </c>
      <c r="H11" s="19">
        <f t="shared" si="0"/>
        <v>38.409999999999997</v>
      </c>
      <c r="I11" s="9"/>
      <c r="J11" s="19">
        <f>I11+февраль!J11</f>
        <v>0</v>
      </c>
      <c r="K11" s="8"/>
      <c r="L11" s="18">
        <f>K11+февраль!L11</f>
        <v>0</v>
      </c>
    </row>
    <row r="12" spans="1:13">
      <c r="A12" s="1">
        <f t="shared" si="1"/>
        <v>10</v>
      </c>
      <c r="B12" s="34" t="str">
        <f>февраль!B12</f>
        <v>Канализир.г.воды</v>
      </c>
      <c r="C12" s="8">
        <v>0</v>
      </c>
      <c r="D12" s="18">
        <f>C12+февраль!D12</f>
        <v>0</v>
      </c>
      <c r="E12" s="9">
        <v>0</v>
      </c>
      <c r="F12" s="18">
        <f>E12+февраль!F12</f>
        <v>26.18</v>
      </c>
      <c r="G12" s="18">
        <f t="shared" si="0"/>
        <v>0</v>
      </c>
      <c r="H12" s="19">
        <f t="shared" si="0"/>
        <v>26.18</v>
      </c>
      <c r="I12" s="9"/>
      <c r="J12" s="19">
        <f>I12+февраль!J12</f>
        <v>0</v>
      </c>
      <c r="K12" s="8"/>
      <c r="L12" s="18">
        <f>K12+февраль!L12</f>
        <v>0</v>
      </c>
    </row>
    <row r="13" spans="1:13">
      <c r="A13" s="1">
        <f t="shared" si="1"/>
        <v>11</v>
      </c>
      <c r="B13" s="34" t="str">
        <f>февраль!B13</f>
        <v>Тек.рем.общ.имущ.дома</v>
      </c>
      <c r="C13" s="8">
        <v>36633.269999999997</v>
      </c>
      <c r="D13" s="18">
        <f>C13+февраль!D13</f>
        <v>111576.69</v>
      </c>
      <c r="E13" s="9">
        <v>32666.97</v>
      </c>
      <c r="F13" s="18">
        <f>E13+февраль!F13</f>
        <v>101663.36</v>
      </c>
      <c r="G13" s="18">
        <f t="shared" si="0"/>
        <v>-3966.2999999999956</v>
      </c>
      <c r="H13" s="19">
        <f t="shared" si="0"/>
        <v>-9913.3300000000017</v>
      </c>
      <c r="I13" s="9"/>
      <c r="J13" s="19">
        <f>I13+февраль!J13</f>
        <v>0</v>
      </c>
      <c r="K13" s="8"/>
      <c r="L13" s="18">
        <f>K13+февраль!L13</f>
        <v>0</v>
      </c>
    </row>
    <row r="14" spans="1:13">
      <c r="A14" s="1">
        <f t="shared" si="1"/>
        <v>12</v>
      </c>
      <c r="B14" s="34" t="str">
        <f>февраль!B14</f>
        <v>Управление многокв.домом</v>
      </c>
      <c r="C14" s="8">
        <v>14394.87</v>
      </c>
      <c r="D14" s="18">
        <f>C14+февраль!D14</f>
        <v>43781.93</v>
      </c>
      <c r="E14" s="9">
        <v>12703.45</v>
      </c>
      <c r="F14" s="18">
        <f>E14+февраль!F14</f>
        <v>38096.44</v>
      </c>
      <c r="G14" s="18">
        <f t="shared" si="0"/>
        <v>-1691.42</v>
      </c>
      <c r="H14" s="19">
        <f t="shared" si="0"/>
        <v>-5685.489999999998</v>
      </c>
      <c r="I14" s="9"/>
      <c r="J14" s="19">
        <f>I14+февраль!J14</f>
        <v>0</v>
      </c>
      <c r="K14" s="8"/>
      <c r="L14" s="18">
        <f>K14+февраль!L14</f>
        <v>0</v>
      </c>
    </row>
    <row r="15" spans="1:13">
      <c r="A15" s="1">
        <f t="shared" si="1"/>
        <v>13</v>
      </c>
      <c r="B15" s="34" t="str">
        <f>февраль!B15</f>
        <v>Водоотведение(кв)</v>
      </c>
      <c r="C15" s="8">
        <v>97732.85</v>
      </c>
      <c r="D15" s="18">
        <f>C15+февраль!D15</f>
        <v>296032.23</v>
      </c>
      <c r="E15" s="9">
        <v>87461.06</v>
      </c>
      <c r="F15" s="18">
        <f>E15+февраль!F15</f>
        <v>254308.11</v>
      </c>
      <c r="G15" s="18">
        <f t="shared" si="0"/>
        <v>-10271.790000000008</v>
      </c>
      <c r="H15" s="19">
        <f t="shared" si="0"/>
        <v>-41724.119999999995</v>
      </c>
      <c r="I15" s="9"/>
      <c r="J15" s="19">
        <f>I15+февраль!J15</f>
        <v>0</v>
      </c>
      <c r="K15" s="8"/>
      <c r="L15" s="18">
        <f>K15+февраль!L15</f>
        <v>0</v>
      </c>
    </row>
    <row r="16" spans="1:13" ht="17.25" customHeight="1">
      <c r="A16" s="1">
        <f t="shared" si="1"/>
        <v>14</v>
      </c>
      <c r="B16" s="34" t="str">
        <f>февраль!B16</f>
        <v>Электроснабж.на общед.нужды</v>
      </c>
      <c r="C16" s="8">
        <v>6225.08</v>
      </c>
      <c r="D16" s="18">
        <f>C16+февраль!D16</f>
        <v>20682.489999999998</v>
      </c>
      <c r="E16" s="9">
        <v>6499.36</v>
      </c>
      <c r="F16" s="18">
        <f>E16+февраль!F16</f>
        <v>19013.759999999998</v>
      </c>
      <c r="G16" s="18">
        <f t="shared" si="0"/>
        <v>274.27999999999975</v>
      </c>
      <c r="H16" s="19">
        <f t="shared" si="0"/>
        <v>-1668.7299999999996</v>
      </c>
      <c r="I16" s="9"/>
      <c r="J16" s="19">
        <f>I16+февраль!J16</f>
        <v>0</v>
      </c>
      <c r="K16" s="8"/>
      <c r="L16" s="18">
        <f>K16+февраль!L16</f>
        <v>0</v>
      </c>
    </row>
    <row r="17" spans="1:12">
      <c r="A17" s="1">
        <f t="shared" si="1"/>
        <v>15</v>
      </c>
      <c r="B17" s="34" t="str">
        <f>февраль!B17</f>
        <v>Эксплуатация общедом.ПУ</v>
      </c>
      <c r="C17" s="8">
        <v>3887.28</v>
      </c>
      <c r="D17" s="18">
        <f>C17+февраль!D17</f>
        <v>11843.6</v>
      </c>
      <c r="E17" s="9">
        <v>3466.93</v>
      </c>
      <c r="F17" s="18">
        <f>E17+февраль!F17</f>
        <v>10618.5</v>
      </c>
      <c r="G17" s="18">
        <f t="shared" si="0"/>
        <v>-420.35000000000036</v>
      </c>
      <c r="H17" s="19">
        <f t="shared" si="0"/>
        <v>-1225.1000000000004</v>
      </c>
      <c r="I17" s="9"/>
      <c r="J17" s="19">
        <f>I17+февраль!J17</f>
        <v>0</v>
      </c>
      <c r="K17" s="8"/>
      <c r="L17" s="18">
        <f>K17+февраль!L17</f>
        <v>0</v>
      </c>
    </row>
    <row r="18" spans="1:12">
      <c r="A18" s="1">
        <f t="shared" si="1"/>
        <v>16</v>
      </c>
      <c r="B18" s="34" t="str">
        <f>февраль!B18</f>
        <v>Водоотведение(о/д нужды)</v>
      </c>
      <c r="C18" s="8">
        <v>0</v>
      </c>
      <c r="D18" s="18">
        <f>C18+февраль!D18</f>
        <v>0</v>
      </c>
      <c r="E18" s="9">
        <v>0</v>
      </c>
      <c r="F18" s="18">
        <f>E18+февраль!F18</f>
        <v>3.19</v>
      </c>
      <c r="G18" s="18">
        <f t="shared" si="0"/>
        <v>0</v>
      </c>
      <c r="H18" s="19">
        <f t="shared" si="0"/>
        <v>3.19</v>
      </c>
      <c r="I18" s="9"/>
      <c r="J18" s="19">
        <f>I18+февраль!J18</f>
        <v>0</v>
      </c>
      <c r="K18" s="8"/>
      <c r="L18" s="18">
        <f>K18+февраль!L18</f>
        <v>0</v>
      </c>
    </row>
    <row r="19" spans="1:12">
      <c r="A19" s="1">
        <f t="shared" si="1"/>
        <v>17</v>
      </c>
      <c r="B19" s="34" t="str">
        <f>февраль!B19</f>
        <v>Отопление (о/д нужды)</v>
      </c>
      <c r="C19" s="8">
        <v>0</v>
      </c>
      <c r="D19" s="18">
        <f>C19+февраль!D19</f>
        <v>0</v>
      </c>
      <c r="E19" s="9">
        <v>0</v>
      </c>
      <c r="F19" s="18">
        <f>E19+февраль!F19</f>
        <v>42.2</v>
      </c>
      <c r="G19" s="18">
        <f t="shared" si="0"/>
        <v>0</v>
      </c>
      <c r="H19" s="19">
        <f t="shared" si="0"/>
        <v>42.2</v>
      </c>
      <c r="I19" s="9"/>
      <c r="J19" s="19">
        <f>I19+февраль!J19</f>
        <v>0</v>
      </c>
      <c r="K19" s="8"/>
      <c r="L19" s="18">
        <f>K19+февраль!L19</f>
        <v>0</v>
      </c>
    </row>
    <row r="20" spans="1:12">
      <c r="A20" s="1">
        <f t="shared" si="1"/>
        <v>18</v>
      </c>
      <c r="B20" s="34" t="str">
        <f>февраль!B20</f>
        <v>Гор.водоснабж.(о/д нужды)</v>
      </c>
      <c r="C20" s="8">
        <v>6137.36</v>
      </c>
      <c r="D20" s="18">
        <f>C20+февраль!D20</f>
        <v>18669.419999999998</v>
      </c>
      <c r="E20" s="9">
        <v>5432.33</v>
      </c>
      <c r="F20" s="18">
        <f>E20+февраль!F20</f>
        <v>16173.87</v>
      </c>
      <c r="G20" s="18">
        <f t="shared" si="0"/>
        <v>-705.02999999999975</v>
      </c>
      <c r="H20" s="19">
        <f t="shared" si="0"/>
        <v>-2495.5499999999975</v>
      </c>
      <c r="I20" s="9"/>
      <c r="J20" s="19">
        <f>I20+февраль!J20</f>
        <v>0</v>
      </c>
      <c r="K20" s="8"/>
      <c r="L20" s="18">
        <f>K20+февраль!L20</f>
        <v>0</v>
      </c>
    </row>
    <row r="21" spans="1:12">
      <c r="A21" s="1">
        <f t="shared" si="1"/>
        <v>19</v>
      </c>
      <c r="B21" s="34" t="str">
        <f>февраль!B21</f>
        <v>Холодн водосн о/д нужды</v>
      </c>
      <c r="C21" s="8">
        <v>2636.37</v>
      </c>
      <c r="D21" s="18">
        <f>C21+февраль!D21</f>
        <v>8054.25</v>
      </c>
      <c r="E21" s="9">
        <v>2685.44</v>
      </c>
      <c r="F21" s="18">
        <f>E21+февраль!F21</f>
        <v>6562.15</v>
      </c>
      <c r="G21" s="18">
        <f t="shared" si="0"/>
        <v>49.070000000000164</v>
      </c>
      <c r="H21" s="19">
        <f t="shared" si="0"/>
        <v>-1492.1000000000004</v>
      </c>
      <c r="I21" s="9"/>
      <c r="J21" s="19">
        <f>I21+февраль!J21</f>
        <v>0</v>
      </c>
      <c r="K21" s="8"/>
      <c r="L21" s="18">
        <f>K21+февраль!L21</f>
        <v>0</v>
      </c>
    </row>
    <row r="22" spans="1:12">
      <c r="A22" s="1">
        <f t="shared" si="1"/>
        <v>20</v>
      </c>
      <c r="B22" s="34">
        <f>февраль!B22</f>
        <v>0</v>
      </c>
      <c r="C22" s="8">
        <v>0</v>
      </c>
      <c r="D22" s="18">
        <f>C22+февраль!D22</f>
        <v>0</v>
      </c>
      <c r="E22" s="9">
        <v>0</v>
      </c>
      <c r="F22" s="18">
        <f>E22+февраль!F22</f>
        <v>0</v>
      </c>
      <c r="G22" s="18">
        <f t="shared" si="0"/>
        <v>0</v>
      </c>
      <c r="H22" s="19">
        <f t="shared" si="0"/>
        <v>0</v>
      </c>
      <c r="I22" s="9"/>
      <c r="J22" s="19">
        <f>I22+февраль!J22</f>
        <v>0</v>
      </c>
      <c r="K22" s="8"/>
      <c r="L22" s="18">
        <f>K22+февраль!L22</f>
        <v>0</v>
      </c>
    </row>
    <row r="23" spans="1:12">
      <c r="A23" s="21"/>
      <c r="B23" s="25" t="s">
        <v>12</v>
      </c>
      <c r="C23" s="22">
        <f t="shared" ref="C23:L23" si="2">SUM(C3:C22)</f>
        <v>730033.86</v>
      </c>
      <c r="D23" s="22">
        <f t="shared" si="2"/>
        <v>2444057.39</v>
      </c>
      <c r="E23" s="23">
        <f t="shared" si="2"/>
        <v>733906.33</v>
      </c>
      <c r="F23" s="22">
        <f t="shared" si="2"/>
        <v>2113298.5099999998</v>
      </c>
      <c r="G23" s="22">
        <f t="shared" si="2"/>
        <v>3872.4699999999834</v>
      </c>
      <c r="H23" s="23">
        <f t="shared" si="2"/>
        <v>-330758.87999999989</v>
      </c>
      <c r="I23" s="23">
        <f t="shared" si="2"/>
        <v>0</v>
      </c>
      <c r="J23" s="23">
        <f t="shared" si="2"/>
        <v>0</v>
      </c>
      <c r="K23" s="22">
        <f t="shared" si="2"/>
        <v>0</v>
      </c>
      <c r="L23" s="22">
        <f t="shared" si="2"/>
        <v>0</v>
      </c>
    </row>
    <row r="26" spans="1:12">
      <c r="B26" s="38" t="s">
        <v>35</v>
      </c>
      <c r="C26" s="9">
        <f t="shared" ref="C26:H26" si="3">C3+C6+C7+C8+C9+C13+C14+C17</f>
        <v>171242.87999999998</v>
      </c>
      <c r="D26" s="9">
        <f t="shared" si="3"/>
        <v>521412.39999999997</v>
      </c>
      <c r="E26" s="9">
        <f t="shared" si="3"/>
        <v>152518.32</v>
      </c>
      <c r="F26" s="9">
        <f t="shared" si="3"/>
        <v>463340.51999999996</v>
      </c>
      <c r="G26" s="9">
        <f t="shared" si="3"/>
        <v>-18724.55999999999</v>
      </c>
      <c r="H26" s="9">
        <f t="shared" si="3"/>
        <v>-58071.880000000019</v>
      </c>
    </row>
    <row r="28" spans="1:12">
      <c r="B28" s="1" t="s">
        <v>36</v>
      </c>
      <c r="C28" s="9">
        <f>C10+C11+C12+C15+C18+C21</f>
        <v>157204.21</v>
      </c>
      <c r="D28" s="9">
        <f t="shared" ref="D28:J28" si="4">D10+D11+D12+D15+D18+D21</f>
        <v>476514.49</v>
      </c>
      <c r="E28" s="9">
        <f t="shared" si="4"/>
        <v>140896.38</v>
      </c>
      <c r="F28" s="9">
        <f t="shared" si="4"/>
        <v>407772.41</v>
      </c>
      <c r="G28" s="9">
        <f t="shared" si="4"/>
        <v>-16307.830000000009</v>
      </c>
      <c r="H28" s="9">
        <f t="shared" si="4"/>
        <v>-68742.079999999987</v>
      </c>
      <c r="I28" s="9">
        <f t="shared" si="4"/>
        <v>0</v>
      </c>
      <c r="J28" s="9">
        <f t="shared" si="4"/>
        <v>0</v>
      </c>
    </row>
    <row r="29" spans="1:12">
      <c r="B29" s="1" t="s">
        <v>37</v>
      </c>
      <c r="C29" s="9">
        <f>C16</f>
        <v>6225.08</v>
      </c>
      <c r="D29" s="9">
        <f t="shared" ref="D29:J29" si="5">D16</f>
        <v>20682.489999999998</v>
      </c>
      <c r="E29" s="9">
        <f t="shared" si="5"/>
        <v>6499.36</v>
      </c>
      <c r="F29" s="9">
        <f t="shared" si="5"/>
        <v>19013.759999999998</v>
      </c>
      <c r="G29" s="9">
        <f t="shared" si="5"/>
        <v>274.27999999999975</v>
      </c>
      <c r="H29" s="9">
        <f t="shared" si="5"/>
        <v>-1668.7299999999996</v>
      </c>
      <c r="I29" s="9">
        <f t="shared" si="5"/>
        <v>0</v>
      </c>
      <c r="J29" s="9">
        <f t="shared" si="5"/>
        <v>0</v>
      </c>
    </row>
    <row r="30" spans="1:12">
      <c r="B30" s="1" t="s">
        <v>38</v>
      </c>
      <c r="C30" s="9">
        <f>C4+C5+C19+C20</f>
        <v>395361.69</v>
      </c>
      <c r="D30" s="9">
        <f t="shared" ref="D30:J30" si="6">D4+D5+D19+D20</f>
        <v>1425448.01</v>
      </c>
      <c r="E30" s="9">
        <f t="shared" si="6"/>
        <v>433992.27</v>
      </c>
      <c r="F30" s="9">
        <f t="shared" si="6"/>
        <v>1223171.82</v>
      </c>
      <c r="G30" s="9">
        <f t="shared" si="6"/>
        <v>38630.579999999987</v>
      </c>
      <c r="H30" s="9">
        <f t="shared" si="6"/>
        <v>-202276.18999999994</v>
      </c>
      <c r="I30" s="9">
        <f t="shared" si="6"/>
        <v>0</v>
      </c>
      <c r="J30" s="9">
        <f t="shared" si="6"/>
        <v>0</v>
      </c>
    </row>
    <row r="34" spans="3:9">
      <c r="H34">
        <v>142070.85</v>
      </c>
      <c r="I34">
        <v>137347.64000000001</v>
      </c>
    </row>
    <row r="35" spans="3:9">
      <c r="H35">
        <v>587963.01</v>
      </c>
      <c r="I35">
        <v>596558.68999999994</v>
      </c>
    </row>
    <row r="36" spans="3:9">
      <c r="H36" s="11">
        <f>H34+H35</f>
        <v>730033.86</v>
      </c>
      <c r="I36" s="11">
        <f>I34+I35</f>
        <v>733906.33</v>
      </c>
    </row>
    <row r="39" spans="3:9">
      <c r="C39" s="43"/>
    </row>
  </sheetData>
  <phoneticPr fontId="0" type="noConversion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workbookViewId="0">
      <selection activeCell="C24" sqref="C24"/>
    </sheetView>
  </sheetViews>
  <sheetFormatPr defaultRowHeight="12.75"/>
  <cols>
    <col min="1" max="1" width="4" customWidth="1"/>
    <col min="2" max="2" width="27.140625" customWidth="1"/>
    <col min="3" max="3" width="10.42578125" customWidth="1"/>
    <col min="4" max="4" width="11.42578125" customWidth="1"/>
    <col min="5" max="5" width="10" customWidth="1"/>
    <col min="6" max="6" width="12" customWidth="1"/>
    <col min="7" max="7" width="11.140625" customWidth="1"/>
    <col min="8" max="8" width="11" customWidth="1"/>
    <col min="9" max="9" width="9.85546875" customWidth="1"/>
    <col min="10" max="10" width="11" customWidth="1"/>
    <col min="11" max="11" width="10.140625" bestFit="1" customWidth="1"/>
    <col min="12" max="12" width="10.85546875" customWidth="1"/>
    <col min="13" max="13" width="10.7109375" bestFit="1" customWidth="1"/>
  </cols>
  <sheetData>
    <row r="2" spans="1:13">
      <c r="B2" s="11" t="s">
        <v>18</v>
      </c>
      <c r="D2" s="13"/>
    </row>
    <row r="4" spans="1:13" ht="38.25">
      <c r="A4" s="14" t="s">
        <v>0</v>
      </c>
      <c r="B4" s="15" t="s">
        <v>1</v>
      </c>
      <c r="C4" s="16" t="s">
        <v>2</v>
      </c>
      <c r="D4" s="15" t="s">
        <v>3</v>
      </c>
      <c r="E4" s="17" t="s">
        <v>4</v>
      </c>
      <c r="F4" s="15" t="s">
        <v>5</v>
      </c>
      <c r="G4" s="15" t="s">
        <v>6</v>
      </c>
      <c r="H4" s="17" t="s">
        <v>7</v>
      </c>
      <c r="I4" s="17" t="s">
        <v>8</v>
      </c>
      <c r="J4" s="17" t="s">
        <v>9</v>
      </c>
      <c r="K4" s="15" t="s">
        <v>10</v>
      </c>
      <c r="L4" s="15" t="s">
        <v>11</v>
      </c>
    </row>
    <row r="5" spans="1:13">
      <c r="A5" s="1">
        <v>1</v>
      </c>
      <c r="B5" s="34" t="str">
        <f>март!B3</f>
        <v>Содержание общ.имущ.дома</v>
      </c>
      <c r="C5" s="8">
        <v>72631.42</v>
      </c>
      <c r="D5" s="18">
        <v>200213.71</v>
      </c>
      <c r="E5" s="9">
        <v>67075.58</v>
      </c>
      <c r="F5" s="18">
        <f>E5+март!F3</f>
        <v>252649.89</v>
      </c>
      <c r="G5" s="18">
        <f>E5-C5</f>
        <v>-5555.8399999999965</v>
      </c>
      <c r="H5" s="19">
        <f>F5-D5</f>
        <v>52436.180000000022</v>
      </c>
      <c r="I5" s="9"/>
      <c r="J5" s="19">
        <f>I5+март!J3</f>
        <v>0</v>
      </c>
      <c r="K5" s="8"/>
      <c r="L5" s="18">
        <f>K5+март!L3</f>
        <v>0</v>
      </c>
    </row>
    <row r="6" spans="1:13">
      <c r="A6" s="1">
        <f>A5+1</f>
        <v>2</v>
      </c>
      <c r="B6" s="34" t="str">
        <f>март!B4</f>
        <v>Отопление</v>
      </c>
      <c r="C6" s="8">
        <v>249374.49</v>
      </c>
      <c r="D6" s="18">
        <v>880560.06</v>
      </c>
      <c r="E6" s="9">
        <v>235524.37</v>
      </c>
      <c r="F6" s="18">
        <f>E6+март!F4</f>
        <v>1034359.18</v>
      </c>
      <c r="G6" s="18">
        <f t="shared" ref="G6:H24" si="0">E6-C6</f>
        <v>-13850.119999999995</v>
      </c>
      <c r="H6" s="19">
        <f t="shared" si="0"/>
        <v>153799.12</v>
      </c>
      <c r="I6" s="9"/>
      <c r="J6" s="19">
        <f>I6+март!J4</f>
        <v>0</v>
      </c>
      <c r="K6" s="8"/>
      <c r="L6" s="18">
        <f>K6+март!L4</f>
        <v>0</v>
      </c>
      <c r="M6" s="24"/>
    </row>
    <row r="7" spans="1:13">
      <c r="A7" s="1">
        <f t="shared" ref="A7:A24" si="1">A6+1</f>
        <v>3</v>
      </c>
      <c r="B7" s="34" t="str">
        <f>март!B5</f>
        <v>Горячее водоснабжение</v>
      </c>
      <c r="C7" s="8">
        <v>161181.85</v>
      </c>
      <c r="D7" s="18">
        <v>443382.52</v>
      </c>
      <c r="E7" s="9">
        <v>145221.19</v>
      </c>
      <c r="F7" s="18">
        <f>E7+март!F5</f>
        <v>553342.13</v>
      </c>
      <c r="G7" s="18">
        <f t="shared" si="0"/>
        <v>-15960.660000000003</v>
      </c>
      <c r="H7" s="19">
        <f t="shared" si="0"/>
        <v>109959.60999999999</v>
      </c>
      <c r="I7" s="9"/>
      <c r="J7" s="19">
        <f>I7+март!J5</f>
        <v>0</v>
      </c>
      <c r="K7" s="8"/>
      <c r="L7" s="18">
        <f>K7+март!L5</f>
        <v>0</v>
      </c>
    </row>
    <row r="8" spans="1:13">
      <c r="A8" s="1">
        <f t="shared" si="1"/>
        <v>4</v>
      </c>
      <c r="B8" s="34" t="str">
        <f>март!B6</f>
        <v>Сод.и ремонт АППЗ</v>
      </c>
      <c r="C8" s="8">
        <v>2887.39</v>
      </c>
      <c r="D8" s="18">
        <v>7953.81</v>
      </c>
      <c r="E8" s="9">
        <v>2671.23</v>
      </c>
      <c r="F8" s="18">
        <f>E8+март!F6</f>
        <v>10141.16</v>
      </c>
      <c r="G8" s="18">
        <f t="shared" si="0"/>
        <v>-216.15999999999985</v>
      </c>
      <c r="H8" s="19">
        <f t="shared" si="0"/>
        <v>2187.3499999999995</v>
      </c>
      <c r="I8" s="9"/>
      <c r="J8" s="19">
        <f>I8+март!J6</f>
        <v>0</v>
      </c>
      <c r="K8" s="8"/>
      <c r="L8" s="18">
        <f>K8+март!L6</f>
        <v>0</v>
      </c>
    </row>
    <row r="9" spans="1:13">
      <c r="A9" s="1">
        <f t="shared" si="1"/>
        <v>5</v>
      </c>
      <c r="B9" s="34" t="str">
        <f>март!B7</f>
        <v>Сод.и ремонт лифтов</v>
      </c>
      <c r="C9" s="8">
        <v>-22278.240000000002</v>
      </c>
      <c r="D9" s="18">
        <v>25848.43</v>
      </c>
      <c r="E9" s="9">
        <v>24978.04</v>
      </c>
      <c r="F9" s="18">
        <f>E9+март!F7</f>
        <v>96566.12</v>
      </c>
      <c r="G9" s="18">
        <f t="shared" si="0"/>
        <v>47256.28</v>
      </c>
      <c r="H9" s="19">
        <f t="shared" si="0"/>
        <v>70717.69</v>
      </c>
      <c r="I9" s="9"/>
      <c r="J9" s="19">
        <f>I9+март!J7</f>
        <v>0</v>
      </c>
      <c r="K9" s="8"/>
      <c r="L9" s="18">
        <f>K9+март!L7</f>
        <v>0</v>
      </c>
    </row>
    <row r="10" spans="1:13">
      <c r="A10" s="1">
        <f t="shared" si="1"/>
        <v>6</v>
      </c>
      <c r="B10" s="34" t="str">
        <f>март!B8</f>
        <v>Очистка мусоропроводов</v>
      </c>
      <c r="C10" s="8">
        <v>8618.52</v>
      </c>
      <c r="D10" s="18">
        <v>23666.67</v>
      </c>
      <c r="E10" s="9">
        <v>7984.82</v>
      </c>
      <c r="F10" s="18">
        <f>E10+март!F8</f>
        <v>30562.59</v>
      </c>
      <c r="G10" s="18">
        <f t="shared" si="0"/>
        <v>-633.70000000000073</v>
      </c>
      <c r="H10" s="19">
        <f t="shared" si="0"/>
        <v>6895.9200000000019</v>
      </c>
      <c r="I10" s="9"/>
      <c r="J10" s="19">
        <f>I10+март!J8</f>
        <v>0</v>
      </c>
      <c r="K10" s="8"/>
      <c r="L10" s="18">
        <f>K10+март!L8</f>
        <v>0</v>
      </c>
    </row>
    <row r="11" spans="1:13">
      <c r="A11" s="1">
        <f t="shared" si="1"/>
        <v>7</v>
      </c>
      <c r="B11" s="34" t="str">
        <f>март!B9</f>
        <v>Уборка и сан.очистка зем.уч.</v>
      </c>
      <c r="C11" s="8">
        <v>9974.3799999999992</v>
      </c>
      <c r="D11" s="18">
        <v>27476.57</v>
      </c>
      <c r="E11" s="9">
        <v>9220.34</v>
      </c>
      <c r="F11" s="18">
        <f>E11+март!F9</f>
        <v>34972.47</v>
      </c>
      <c r="G11" s="18">
        <f t="shared" si="0"/>
        <v>-754.03999999999905</v>
      </c>
      <c r="H11" s="19">
        <f t="shared" si="0"/>
        <v>7495.9000000000015</v>
      </c>
      <c r="I11" s="9"/>
      <c r="J11" s="19">
        <f>I11+март!J9</f>
        <v>0</v>
      </c>
      <c r="K11" s="8"/>
      <c r="L11" s="18">
        <f>K11+март!L9</f>
        <v>0</v>
      </c>
    </row>
    <row r="12" spans="1:13">
      <c r="A12" s="1">
        <f t="shared" si="1"/>
        <v>8</v>
      </c>
      <c r="B12" s="34" t="str">
        <f>март!B10</f>
        <v>Холодная вода</v>
      </c>
      <c r="C12" s="8">
        <v>58853.3</v>
      </c>
      <c r="D12" s="18">
        <v>161599.04999999999</v>
      </c>
      <c r="E12" s="9">
        <v>52850.7</v>
      </c>
      <c r="F12" s="18">
        <f>E12+март!F10</f>
        <v>199685.07</v>
      </c>
      <c r="G12" s="18">
        <f t="shared" si="0"/>
        <v>-6002.6000000000058</v>
      </c>
      <c r="H12" s="19">
        <f t="shared" si="0"/>
        <v>38086.020000000019</v>
      </c>
      <c r="I12" s="9"/>
      <c r="J12" s="19">
        <f>I12+март!J10</f>
        <v>0</v>
      </c>
      <c r="K12" s="8"/>
      <c r="L12" s="18">
        <f>K12+март!L10</f>
        <v>0</v>
      </c>
    </row>
    <row r="13" spans="1:13">
      <c r="A13" s="1">
        <f t="shared" si="1"/>
        <v>9</v>
      </c>
      <c r="B13" s="42" t="str">
        <f>март!B11</f>
        <v>Канализир.х.воды</v>
      </c>
      <c r="C13" s="8">
        <v>0</v>
      </c>
      <c r="D13" s="18">
        <v>0</v>
      </c>
      <c r="E13" s="9">
        <f>0+57.44-89.56</f>
        <v>-32.120000000000005</v>
      </c>
      <c r="F13" s="18">
        <f>E13+март!F11</f>
        <v>6.289999999999992</v>
      </c>
      <c r="G13" s="18">
        <f t="shared" si="0"/>
        <v>-32.120000000000005</v>
      </c>
      <c r="H13" s="19">
        <f t="shared" si="0"/>
        <v>6.289999999999992</v>
      </c>
      <c r="I13" s="9"/>
      <c r="J13" s="19">
        <f>I13+март!J11</f>
        <v>0</v>
      </c>
      <c r="K13" s="8"/>
      <c r="L13" s="18">
        <f>K13+март!L11</f>
        <v>0</v>
      </c>
    </row>
    <row r="14" spans="1:13">
      <c r="A14" s="1">
        <f t="shared" si="1"/>
        <v>10</v>
      </c>
      <c r="B14" s="34" t="str">
        <f>март!B12</f>
        <v>Канализир.г.воды</v>
      </c>
      <c r="C14" s="8">
        <v>0</v>
      </c>
      <c r="D14" s="18">
        <v>0</v>
      </c>
      <c r="E14" s="9">
        <v>39.17</v>
      </c>
      <c r="F14" s="18">
        <f>E14+март!F12</f>
        <v>65.349999999999994</v>
      </c>
      <c r="G14" s="18">
        <f t="shared" si="0"/>
        <v>39.17</v>
      </c>
      <c r="H14" s="19">
        <f t="shared" si="0"/>
        <v>65.349999999999994</v>
      </c>
      <c r="I14" s="9"/>
      <c r="J14" s="19">
        <f>I14+март!J12</f>
        <v>0</v>
      </c>
      <c r="K14" s="8"/>
      <c r="L14" s="18">
        <f>K14+март!L12</f>
        <v>0</v>
      </c>
    </row>
    <row r="15" spans="1:13">
      <c r="A15" s="1">
        <f t="shared" si="1"/>
        <v>11</v>
      </c>
      <c r="B15" s="34" t="str">
        <f>март!B13</f>
        <v>Тек.рем.общ.имущ.дома</v>
      </c>
      <c r="C15" s="8">
        <v>38310.15</v>
      </c>
      <c r="D15" s="18">
        <v>105555.64</v>
      </c>
      <c r="E15" s="9">
        <v>35484.769999999997</v>
      </c>
      <c r="F15" s="18">
        <f>E15+март!F13</f>
        <v>137148.13</v>
      </c>
      <c r="G15" s="18">
        <f t="shared" si="0"/>
        <v>-2825.3800000000047</v>
      </c>
      <c r="H15" s="19">
        <f t="shared" si="0"/>
        <v>31592.490000000005</v>
      </c>
      <c r="I15" s="9"/>
      <c r="J15" s="19">
        <f>I15+март!J13</f>
        <v>0</v>
      </c>
      <c r="K15" s="8"/>
      <c r="L15" s="18">
        <f>K15+март!L13</f>
        <v>0</v>
      </c>
    </row>
    <row r="16" spans="1:13">
      <c r="A16" s="1">
        <f t="shared" si="1"/>
        <v>12</v>
      </c>
      <c r="B16" s="34" t="str">
        <f>март!B14</f>
        <v>Управление многокв.домом</v>
      </c>
      <c r="C16" s="8">
        <v>14992.19</v>
      </c>
      <c r="D16" s="18">
        <v>41360.75</v>
      </c>
      <c r="E16" s="9">
        <v>13769.63</v>
      </c>
      <c r="F16" s="18">
        <f>E16+март!F14</f>
        <v>51866.07</v>
      </c>
      <c r="G16" s="18">
        <f t="shared" si="0"/>
        <v>-1222.5600000000013</v>
      </c>
      <c r="H16" s="19">
        <f t="shared" si="0"/>
        <v>10505.32</v>
      </c>
      <c r="I16" s="9"/>
      <c r="J16" s="19">
        <f>I16+март!J14</f>
        <v>0</v>
      </c>
      <c r="K16" s="8"/>
      <c r="L16" s="18">
        <f>K16+март!L14</f>
        <v>0</v>
      </c>
    </row>
    <row r="17" spans="1:12">
      <c r="A17" s="1">
        <f t="shared" si="1"/>
        <v>13</v>
      </c>
      <c r="B17" s="34" t="str">
        <f>март!B15</f>
        <v>Водоотведение(кв)</v>
      </c>
      <c r="C17" s="8">
        <v>101001.35</v>
      </c>
      <c r="D17" s="18">
        <v>277393.55</v>
      </c>
      <c r="E17" s="9">
        <v>90810.72</v>
      </c>
      <c r="F17" s="18">
        <f>E17+март!F15</f>
        <v>345118.82999999996</v>
      </c>
      <c r="G17" s="18">
        <f t="shared" si="0"/>
        <v>-10190.630000000005</v>
      </c>
      <c r="H17" s="19">
        <f t="shared" si="0"/>
        <v>67725.27999999997</v>
      </c>
      <c r="I17" s="9"/>
      <c r="J17" s="19">
        <f>I17+март!J15</f>
        <v>0</v>
      </c>
      <c r="K17" s="8"/>
      <c r="L17" s="18">
        <f>K17+март!L15</f>
        <v>0</v>
      </c>
    </row>
    <row r="18" spans="1:12" ht="17.25" customHeight="1">
      <c r="A18" s="1">
        <f t="shared" si="1"/>
        <v>14</v>
      </c>
      <c r="B18" s="34" t="str">
        <f>март!B16</f>
        <v>Электроснабж.на общед.нужды</v>
      </c>
      <c r="C18" s="8">
        <v>6761.13</v>
      </c>
      <c r="D18" s="18">
        <v>19684.61</v>
      </c>
      <c r="E18" s="9">
        <v>6152.12</v>
      </c>
      <c r="F18" s="18">
        <f>E18+март!F16</f>
        <v>25165.879999999997</v>
      </c>
      <c r="G18" s="18">
        <f t="shared" si="0"/>
        <v>-609.01000000000022</v>
      </c>
      <c r="H18" s="19">
        <f t="shared" si="0"/>
        <v>5481.2699999999968</v>
      </c>
      <c r="I18" s="9"/>
      <c r="J18" s="19">
        <f>I18+март!J16</f>
        <v>0</v>
      </c>
      <c r="K18" s="8"/>
      <c r="L18" s="18">
        <f>K18+март!L16</f>
        <v>0</v>
      </c>
    </row>
    <row r="19" spans="1:12">
      <c r="A19" s="1">
        <f t="shared" si="1"/>
        <v>15</v>
      </c>
      <c r="B19" s="34" t="str">
        <f>март!B17</f>
        <v>Эксплуатация общедом.ПУ</v>
      </c>
      <c r="C19" s="8">
        <v>4069.04</v>
      </c>
      <c r="D19" s="18">
        <v>11208.16</v>
      </c>
      <c r="E19" s="9">
        <v>3771.79</v>
      </c>
      <c r="F19" s="18">
        <f>E19+март!F17</f>
        <v>14390.29</v>
      </c>
      <c r="G19" s="18">
        <f t="shared" si="0"/>
        <v>-297.25</v>
      </c>
      <c r="H19" s="19">
        <f t="shared" si="0"/>
        <v>3182.130000000001</v>
      </c>
      <c r="I19" s="9"/>
      <c r="J19" s="19">
        <f>I19+март!J17</f>
        <v>0</v>
      </c>
      <c r="K19" s="8"/>
      <c r="L19" s="18">
        <f>K19+март!L17</f>
        <v>0</v>
      </c>
    </row>
    <row r="20" spans="1:12">
      <c r="A20" s="1">
        <f t="shared" si="1"/>
        <v>16</v>
      </c>
      <c r="B20" s="34" t="str">
        <f>март!B18</f>
        <v>Водоотведение(о/д нужды)</v>
      </c>
      <c r="C20" s="8">
        <v>0</v>
      </c>
      <c r="D20" s="18">
        <v>0</v>
      </c>
      <c r="E20" s="9">
        <f>0+0</f>
        <v>0</v>
      </c>
      <c r="F20" s="18">
        <f>E20+март!F18</f>
        <v>3.19</v>
      </c>
      <c r="G20" s="18">
        <f t="shared" si="0"/>
        <v>0</v>
      </c>
      <c r="H20" s="19">
        <f t="shared" si="0"/>
        <v>3.19</v>
      </c>
      <c r="I20" s="9"/>
      <c r="J20" s="19">
        <f>I20+март!J18</f>
        <v>0</v>
      </c>
      <c r="K20" s="8"/>
      <c r="L20" s="18">
        <f>K20+март!L18</f>
        <v>0</v>
      </c>
    </row>
    <row r="21" spans="1:12">
      <c r="A21" s="1">
        <f t="shared" si="1"/>
        <v>17</v>
      </c>
      <c r="B21" s="34" t="str">
        <f>март!B19</f>
        <v>Отопление (о/д нужды)</v>
      </c>
      <c r="C21" s="8">
        <v>0</v>
      </c>
      <c r="D21" s="18">
        <v>0</v>
      </c>
      <c r="E21" s="9">
        <v>147.51</v>
      </c>
      <c r="F21" s="18">
        <f>E21+март!F19</f>
        <v>189.70999999999998</v>
      </c>
      <c r="G21" s="18">
        <f t="shared" si="0"/>
        <v>147.51</v>
      </c>
      <c r="H21" s="19">
        <f t="shared" si="0"/>
        <v>189.70999999999998</v>
      </c>
      <c r="I21" s="9"/>
      <c r="J21" s="19">
        <f>I21+март!J19</f>
        <v>0</v>
      </c>
      <c r="K21" s="8"/>
      <c r="L21" s="18">
        <f>K21+март!L19</f>
        <v>0</v>
      </c>
    </row>
    <row r="22" spans="1:12">
      <c r="A22" s="1">
        <f t="shared" si="1"/>
        <v>18</v>
      </c>
      <c r="B22" s="34" t="str">
        <f>март!B20</f>
        <v>Гор.водоснабж.(о/д нужды)</v>
      </c>
      <c r="C22" s="8">
        <v>6393.73</v>
      </c>
      <c r="D22" s="18">
        <v>17637.37</v>
      </c>
      <c r="E22" s="9">
        <v>6032.73</v>
      </c>
      <c r="F22" s="18">
        <f>E22+март!F20</f>
        <v>22206.6</v>
      </c>
      <c r="G22" s="18">
        <f t="shared" si="0"/>
        <v>-361</v>
      </c>
      <c r="H22" s="19">
        <f t="shared" si="0"/>
        <v>4569.2299999999996</v>
      </c>
      <c r="I22" s="9"/>
      <c r="J22" s="19">
        <f>I22+март!J20</f>
        <v>0</v>
      </c>
      <c r="K22" s="8"/>
      <c r="L22" s="18">
        <f>K22+март!L20</f>
        <v>0</v>
      </c>
    </row>
    <row r="23" spans="1:12">
      <c r="A23" s="1">
        <f t="shared" si="1"/>
        <v>19</v>
      </c>
      <c r="B23" s="34" t="str">
        <f>март!B21</f>
        <v>Холодн водосн о/д нужды</v>
      </c>
      <c r="C23" s="8">
        <v>2781.77</v>
      </c>
      <c r="D23" s="18">
        <v>7643.46</v>
      </c>
      <c r="E23" s="9">
        <v>2747.34</v>
      </c>
      <c r="F23" s="18">
        <f>E23+март!F21</f>
        <v>9309.49</v>
      </c>
      <c r="G23" s="18">
        <f t="shared" si="0"/>
        <v>-34.429999999999836</v>
      </c>
      <c r="H23" s="19">
        <f t="shared" si="0"/>
        <v>1666.0299999999997</v>
      </c>
      <c r="I23" s="9"/>
      <c r="J23" s="19">
        <f>I23+март!J21</f>
        <v>0</v>
      </c>
      <c r="K23" s="8"/>
      <c r="L23" s="18">
        <f>K23+март!L21</f>
        <v>0</v>
      </c>
    </row>
    <row r="24" spans="1:12">
      <c r="A24" s="1">
        <f t="shared" si="1"/>
        <v>20</v>
      </c>
      <c r="B24" s="34">
        <f>март!B22</f>
        <v>0</v>
      </c>
      <c r="C24" s="8">
        <v>508.01</v>
      </c>
      <c r="D24" s="18">
        <v>1016.02</v>
      </c>
      <c r="E24" s="9">
        <v>338.67</v>
      </c>
      <c r="F24" s="18">
        <f>E24+март!F22</f>
        <v>338.67</v>
      </c>
      <c r="G24" s="18">
        <f t="shared" si="0"/>
        <v>-169.33999999999997</v>
      </c>
      <c r="H24" s="19">
        <f t="shared" si="0"/>
        <v>-677.34999999999991</v>
      </c>
      <c r="I24" s="9"/>
      <c r="J24" s="19">
        <f>I24+март!J22</f>
        <v>0</v>
      </c>
      <c r="K24" s="8"/>
      <c r="L24" s="18">
        <f>K24+март!L22</f>
        <v>0</v>
      </c>
    </row>
    <row r="25" spans="1:12" ht="15">
      <c r="A25" s="1"/>
      <c r="B25" s="37" t="s">
        <v>12</v>
      </c>
      <c r="C25" s="22">
        <f>SUM(C5:C24)</f>
        <v>716060.4800000001</v>
      </c>
      <c r="D25" s="18">
        <f t="shared" ref="D25:L25" si="2">SUM(D5:D24)</f>
        <v>2252200.38</v>
      </c>
      <c r="E25" s="23">
        <f>SUM(E5:E24)</f>
        <v>704788.60000000009</v>
      </c>
      <c r="F25" s="18">
        <f t="shared" si="2"/>
        <v>2818087.11</v>
      </c>
      <c r="G25" s="18">
        <f t="shared" si="2"/>
        <v>-11271.880000000016</v>
      </c>
      <c r="H25" s="19">
        <f t="shared" si="2"/>
        <v>565886.73</v>
      </c>
      <c r="I25" s="19">
        <f t="shared" si="2"/>
        <v>0</v>
      </c>
      <c r="J25" s="19">
        <f t="shared" si="2"/>
        <v>0</v>
      </c>
      <c r="K25" s="18">
        <f t="shared" si="2"/>
        <v>0</v>
      </c>
      <c r="L25" s="18">
        <f t="shared" si="2"/>
        <v>0</v>
      </c>
    </row>
    <row r="26" spans="1:12" ht="11.25" customHeight="1"/>
    <row r="27" spans="1:12" hidden="1"/>
    <row r="28" spans="1:12" hidden="1">
      <c r="H28" t="s">
        <v>36</v>
      </c>
      <c r="I28" s="24">
        <f>I12+I13+I14</f>
        <v>0</v>
      </c>
    </row>
    <row r="29" spans="1:12" hidden="1"/>
    <row r="30" spans="1:12">
      <c r="B30" s="1" t="s">
        <v>36</v>
      </c>
      <c r="C30" s="9">
        <f>C12+C13+C14+C17+C20+C23</f>
        <v>162636.42000000001</v>
      </c>
      <c r="D30" s="9">
        <f t="shared" ref="D30:J30" si="3">D12+D13+D14+D17+D20+D23</f>
        <v>446636.06</v>
      </c>
      <c r="E30" s="9">
        <f t="shared" si="3"/>
        <v>146415.81</v>
      </c>
      <c r="F30" s="9">
        <f t="shared" si="3"/>
        <v>554188.22</v>
      </c>
      <c r="G30" s="9">
        <f t="shared" si="3"/>
        <v>-16220.610000000011</v>
      </c>
      <c r="H30" s="9">
        <f t="shared" si="3"/>
        <v>107552.15999999999</v>
      </c>
      <c r="I30" s="9">
        <f t="shared" si="3"/>
        <v>0</v>
      </c>
      <c r="J30" s="9">
        <f t="shared" si="3"/>
        <v>0</v>
      </c>
    </row>
    <row r="31" spans="1:12">
      <c r="B31" s="1" t="s">
        <v>37</v>
      </c>
      <c r="C31" s="9">
        <f>C18</f>
        <v>6761.13</v>
      </c>
      <c r="D31" s="9">
        <f t="shared" ref="D31:J31" si="4">D18</f>
        <v>19684.61</v>
      </c>
      <c r="E31" s="9">
        <f t="shared" si="4"/>
        <v>6152.12</v>
      </c>
      <c r="F31" s="9">
        <f t="shared" si="4"/>
        <v>25165.879999999997</v>
      </c>
      <c r="G31" s="9">
        <f t="shared" si="4"/>
        <v>-609.01000000000022</v>
      </c>
      <c r="H31" s="9">
        <f t="shared" si="4"/>
        <v>5481.2699999999968</v>
      </c>
      <c r="I31" s="9">
        <f t="shared" si="4"/>
        <v>0</v>
      </c>
      <c r="J31" s="9">
        <f t="shared" si="4"/>
        <v>0</v>
      </c>
    </row>
    <row r="32" spans="1:12">
      <c r="B32" s="1" t="s">
        <v>38</v>
      </c>
      <c r="C32" s="9">
        <f>C6+C7+C21+C22</f>
        <v>416950.06999999995</v>
      </c>
      <c r="D32" s="9">
        <f t="shared" ref="D32:J32" si="5">D6+D7+D21+D22</f>
        <v>1341579.9500000002</v>
      </c>
      <c r="E32" s="9">
        <f t="shared" si="5"/>
        <v>386925.8</v>
      </c>
      <c r="F32" s="9">
        <f t="shared" si="5"/>
        <v>1610097.62</v>
      </c>
      <c r="G32" s="9">
        <f t="shared" si="5"/>
        <v>-30024.27</v>
      </c>
      <c r="H32" s="9">
        <f t="shared" si="5"/>
        <v>268517.67</v>
      </c>
      <c r="I32" s="9">
        <f t="shared" si="5"/>
        <v>0</v>
      </c>
      <c r="J32" s="9">
        <f t="shared" si="5"/>
        <v>0</v>
      </c>
    </row>
    <row r="35" spans="10:11">
      <c r="J35">
        <v>562092.34</v>
      </c>
      <c r="K35">
        <v>544511.07999999996</v>
      </c>
    </row>
    <row r="36" spans="10:11">
      <c r="J36">
        <v>153968.14000000001</v>
      </c>
      <c r="K36">
        <v>160277.51999999999</v>
      </c>
    </row>
    <row r="37" spans="10:11">
      <c r="J37" s="11">
        <f>J35+J36</f>
        <v>716060.48</v>
      </c>
      <c r="K37" s="11">
        <f>K35+K36</f>
        <v>704788.6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K41" sqref="K41"/>
    </sheetView>
  </sheetViews>
  <sheetFormatPr defaultRowHeight="12.75"/>
  <cols>
    <col min="1" max="1" width="2.85546875" customWidth="1"/>
    <col min="2" max="2" width="27.42578125" customWidth="1"/>
    <col min="3" max="3" width="10.7109375" customWidth="1"/>
    <col min="4" max="4" width="11.85546875" customWidth="1"/>
    <col min="5" max="5" width="11.140625" customWidth="1"/>
    <col min="6" max="6" width="12.5703125" customWidth="1"/>
    <col min="7" max="7" width="11.7109375" customWidth="1"/>
    <col min="8" max="8" width="11.28515625" customWidth="1"/>
    <col min="9" max="9" width="11" customWidth="1"/>
    <col min="10" max="10" width="11.85546875" customWidth="1"/>
    <col min="11" max="11" width="12.42578125" customWidth="1"/>
    <col min="12" max="12" width="11" customWidth="1"/>
    <col min="13" max="13" width="10.7109375" bestFit="1" customWidth="1"/>
  </cols>
  <sheetData>
    <row r="1" spans="1:13">
      <c r="E1" s="11"/>
      <c r="F1" s="12" t="s">
        <v>17</v>
      </c>
      <c r="G1" s="12"/>
      <c r="I1" s="13"/>
    </row>
    <row r="2" spans="1:13" s="33" customFormat="1" ht="38.25">
      <c r="A2" s="27" t="s">
        <v>0</v>
      </c>
      <c r="B2" s="28" t="s">
        <v>1</v>
      </c>
      <c r="C2" s="29" t="s">
        <v>2</v>
      </c>
      <c r="D2" s="28" t="s">
        <v>3</v>
      </c>
      <c r="E2" s="31" t="s">
        <v>4</v>
      </c>
      <c r="F2" s="28" t="s">
        <v>5</v>
      </c>
      <c r="G2" s="28" t="s">
        <v>6</v>
      </c>
      <c r="H2" s="31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 ht="17.25" customHeight="1">
      <c r="A3" s="1">
        <v>1</v>
      </c>
      <c r="B3" s="34" t="str">
        <f>апрель!B5</f>
        <v>Содержание общ.имущ.дома</v>
      </c>
      <c r="C3" s="8">
        <f>57739.79+11696.95</f>
        <v>69436.740000000005</v>
      </c>
      <c r="D3" s="18">
        <f>C3+апрель!D5</f>
        <v>269650.45</v>
      </c>
      <c r="E3" s="9">
        <f>11805.96+56885.67</f>
        <v>68691.63</v>
      </c>
      <c r="F3" s="18">
        <f>E3+апрель!F5</f>
        <v>321341.52</v>
      </c>
      <c r="G3" s="18">
        <f>E3-C3</f>
        <v>-745.11000000000058</v>
      </c>
      <c r="H3" s="19">
        <f>F3-D3</f>
        <v>51691.070000000007</v>
      </c>
      <c r="I3" s="9"/>
      <c r="J3" s="19">
        <f>I3+апрель!J5</f>
        <v>0</v>
      </c>
      <c r="K3" s="8"/>
      <c r="L3" s="18">
        <f>K3+апрель!L5</f>
        <v>0</v>
      </c>
    </row>
    <row r="4" spans="1:13">
      <c r="A4" s="1">
        <f>A3+1</f>
        <v>2</v>
      </c>
      <c r="B4" s="34" t="str">
        <f>апрель!B6</f>
        <v>Отопление</v>
      </c>
      <c r="C4" s="8">
        <f>150291.24+28346.72</f>
        <v>178637.96</v>
      </c>
      <c r="D4" s="18">
        <f>C4+апрель!D6</f>
        <v>1059198.02</v>
      </c>
      <c r="E4" s="9">
        <f>42980.04+174987.85</f>
        <v>217967.89</v>
      </c>
      <c r="F4" s="18">
        <f>E4+апрель!F6</f>
        <v>1252327.07</v>
      </c>
      <c r="G4" s="18">
        <f t="shared" ref="G4:G22" si="0">E4-C4</f>
        <v>39329.930000000022</v>
      </c>
      <c r="H4" s="19">
        <f t="shared" ref="H4:H22" si="1">F4-D4</f>
        <v>193129.05000000005</v>
      </c>
      <c r="I4" s="9"/>
      <c r="J4" s="19">
        <f>I4+апрель!J6</f>
        <v>0</v>
      </c>
      <c r="K4" s="8"/>
      <c r="L4" s="18">
        <f>K4+апрель!L6</f>
        <v>0</v>
      </c>
      <c r="M4" s="24">
        <f>L4-J4</f>
        <v>0</v>
      </c>
    </row>
    <row r="5" spans="1:13">
      <c r="A5" s="1">
        <f t="shared" ref="A5:A22" si="2">A4+1</f>
        <v>3</v>
      </c>
      <c r="B5" s="34" t="str">
        <f>апрель!B7</f>
        <v>Горячее водоснабжение</v>
      </c>
      <c r="C5" s="8">
        <f>131005.03+25141.56+508.01</f>
        <v>156654.6</v>
      </c>
      <c r="D5" s="18">
        <f>C5+апрель!D7</f>
        <v>600037.12</v>
      </c>
      <c r="E5" s="9">
        <f>27540.68+127161.37</f>
        <v>154702.04999999999</v>
      </c>
      <c r="F5" s="18">
        <f>E5+апрель!F7</f>
        <v>708044.17999999993</v>
      </c>
      <c r="G5" s="18">
        <f t="shared" si="0"/>
        <v>-1952.5500000000175</v>
      </c>
      <c r="H5" s="19">
        <f t="shared" si="1"/>
        <v>108007.05999999994</v>
      </c>
      <c r="I5" s="9"/>
      <c r="J5" s="19">
        <f>I5+апрель!J7</f>
        <v>0</v>
      </c>
      <c r="K5" s="8"/>
      <c r="L5" s="18">
        <f>K5+апрель!L7</f>
        <v>0</v>
      </c>
    </row>
    <row r="6" spans="1:13">
      <c r="A6" s="1">
        <f t="shared" si="2"/>
        <v>4</v>
      </c>
      <c r="B6" s="34" t="str">
        <f>апрель!B8</f>
        <v>Сод.и ремонт АППЗ</v>
      </c>
      <c r="C6" s="8">
        <f>2292.88+464.53</f>
        <v>2757.41</v>
      </c>
      <c r="D6" s="18">
        <f>C6+апрель!D8</f>
        <v>10711.220000000001</v>
      </c>
      <c r="E6" s="9">
        <f>470.2+2277.13</f>
        <v>2747.33</v>
      </c>
      <c r="F6" s="18">
        <f>E6+апрель!F8</f>
        <v>12888.49</v>
      </c>
      <c r="G6" s="18">
        <f t="shared" si="0"/>
        <v>-10.079999999999927</v>
      </c>
      <c r="H6" s="19">
        <f t="shared" si="1"/>
        <v>2177.2699999999986</v>
      </c>
      <c r="I6" s="9"/>
      <c r="J6" s="19">
        <f>I6+апрель!J8</f>
        <v>0</v>
      </c>
      <c r="K6" s="8"/>
      <c r="L6" s="18">
        <f>K6+апрель!L8</f>
        <v>0</v>
      </c>
    </row>
    <row r="7" spans="1:13">
      <c r="A7" s="1">
        <f t="shared" si="2"/>
        <v>5</v>
      </c>
      <c r="B7" s="34" t="str">
        <f>апрель!B9</f>
        <v>Сод.и ремонт лифтов</v>
      </c>
      <c r="C7" s="8">
        <f>14502.1+-9129.4</f>
        <v>5372.7000000000007</v>
      </c>
      <c r="D7" s="18">
        <f>C7+апрель!D9</f>
        <v>31221.13</v>
      </c>
      <c r="E7" s="9">
        <f>4261.6+15075.6</f>
        <v>19337.2</v>
      </c>
      <c r="F7" s="18">
        <f>E7+апрель!F9</f>
        <v>115903.31999999999</v>
      </c>
      <c r="G7" s="18">
        <f t="shared" si="0"/>
        <v>13964.5</v>
      </c>
      <c r="H7" s="19">
        <f t="shared" si="1"/>
        <v>84682.189999999988</v>
      </c>
      <c r="I7" s="9"/>
      <c r="J7" s="19">
        <f>I7+апрель!J9</f>
        <v>0</v>
      </c>
      <c r="K7" s="8"/>
      <c r="L7" s="18">
        <f>K7+апрель!L9</f>
        <v>0</v>
      </c>
    </row>
    <row r="8" spans="1:13">
      <c r="A8" s="1">
        <f t="shared" si="2"/>
        <v>6</v>
      </c>
      <c r="B8" s="34" t="str">
        <f>апрель!B10</f>
        <v>Очистка мусоропроводов</v>
      </c>
      <c r="C8" s="8">
        <f>6781.3+1435.74</f>
        <v>8217.0400000000009</v>
      </c>
      <c r="D8" s="18">
        <f>C8+апрель!D10</f>
        <v>31883.71</v>
      </c>
      <c r="E8" s="9">
        <f>1453.15+6726.3</f>
        <v>8179.4500000000007</v>
      </c>
      <c r="F8" s="18">
        <f>E8+апрель!F10</f>
        <v>38742.04</v>
      </c>
      <c r="G8" s="18">
        <f t="shared" si="0"/>
        <v>-37.590000000000146</v>
      </c>
      <c r="H8" s="19">
        <f t="shared" si="1"/>
        <v>6858.3300000000017</v>
      </c>
      <c r="I8" s="9"/>
      <c r="J8" s="19">
        <f>I8+апрель!J10</f>
        <v>0</v>
      </c>
      <c r="K8" s="8"/>
      <c r="L8" s="18">
        <f>K8+апрель!L10</f>
        <v>0</v>
      </c>
    </row>
    <row r="9" spans="1:13" ht="13.5" customHeight="1">
      <c r="A9" s="1">
        <f t="shared" si="2"/>
        <v>7</v>
      </c>
      <c r="B9" s="34" t="str">
        <f>апрель!B11</f>
        <v>Уборка и сан.очистка зем.уч.</v>
      </c>
      <c r="C9" s="8">
        <f>7920.97+1604.57</f>
        <v>9525.5400000000009</v>
      </c>
      <c r="D9" s="18">
        <f>C9+апрель!D11</f>
        <v>37002.11</v>
      </c>
      <c r="E9" s="9">
        <f>1624.09+7860.71</f>
        <v>9484.7999999999993</v>
      </c>
      <c r="F9" s="18">
        <f>E9+апрель!F11</f>
        <v>44457.270000000004</v>
      </c>
      <c r="G9" s="18">
        <f t="shared" si="0"/>
        <v>-40.740000000001601</v>
      </c>
      <c r="H9" s="19">
        <f t="shared" si="1"/>
        <v>7455.1600000000035</v>
      </c>
      <c r="I9" s="9"/>
      <c r="J9" s="19">
        <f>I9+апрель!J11</f>
        <v>0</v>
      </c>
      <c r="K9" s="8"/>
      <c r="L9" s="18">
        <f>K9+апрель!L11</f>
        <v>0</v>
      </c>
    </row>
    <row r="10" spans="1:13">
      <c r="A10" s="1">
        <f t="shared" si="2"/>
        <v>8</v>
      </c>
      <c r="B10" s="34" t="str">
        <f>апрель!B12</f>
        <v>Холодная вода</v>
      </c>
      <c r="C10" s="8">
        <f>47650.71+9300.43</f>
        <v>56951.14</v>
      </c>
      <c r="D10" s="18">
        <f>C10+апрель!D12</f>
        <v>218550.19</v>
      </c>
      <c r="E10" s="9">
        <f>10083.65+46025.21</f>
        <v>56108.86</v>
      </c>
      <c r="F10" s="18">
        <f>E10+апрель!F12</f>
        <v>255793.93</v>
      </c>
      <c r="G10" s="18">
        <f t="shared" si="0"/>
        <v>-842.27999999999884</v>
      </c>
      <c r="H10" s="19">
        <f t="shared" si="1"/>
        <v>37243.739999999991</v>
      </c>
      <c r="I10" s="9"/>
      <c r="J10" s="19">
        <f>I10+апрель!J12</f>
        <v>0</v>
      </c>
      <c r="K10" s="8"/>
      <c r="L10" s="18">
        <f>K10+апрель!L12</f>
        <v>0</v>
      </c>
    </row>
    <row r="11" spans="1:13">
      <c r="A11" s="1">
        <f t="shared" si="2"/>
        <v>9</v>
      </c>
      <c r="B11" s="34" t="str">
        <f>апрель!B13</f>
        <v>Канализир.х.воды</v>
      </c>
      <c r="C11" s="8">
        <f>0+0</f>
        <v>0</v>
      </c>
      <c r="D11" s="18">
        <f>C11+апрель!D13</f>
        <v>0</v>
      </c>
      <c r="E11" s="9">
        <f>0+0</f>
        <v>0</v>
      </c>
      <c r="F11" s="18">
        <f>E11+апрель!F13</f>
        <v>6.289999999999992</v>
      </c>
      <c r="G11" s="18">
        <f t="shared" si="0"/>
        <v>0</v>
      </c>
      <c r="H11" s="19">
        <f t="shared" si="1"/>
        <v>6.289999999999992</v>
      </c>
      <c r="I11" s="9"/>
      <c r="J11" s="19">
        <f>I11+апрель!J13</f>
        <v>0</v>
      </c>
      <c r="K11" s="8"/>
      <c r="L11" s="18">
        <f>K11+апрель!L13</f>
        <v>0</v>
      </c>
    </row>
    <row r="12" spans="1:13">
      <c r="A12" s="1">
        <f t="shared" si="2"/>
        <v>10</v>
      </c>
      <c r="B12" s="34" t="str">
        <f>апрель!B14</f>
        <v>Канализир.г.воды</v>
      </c>
      <c r="C12" s="8">
        <f>0+0</f>
        <v>0</v>
      </c>
      <c r="D12" s="18">
        <f>C12+апрель!D14</f>
        <v>0</v>
      </c>
      <c r="E12" s="9">
        <f>0+0</f>
        <v>0</v>
      </c>
      <c r="F12" s="18">
        <f>E12+апрель!F14</f>
        <v>65.349999999999994</v>
      </c>
      <c r="G12" s="18">
        <f t="shared" si="0"/>
        <v>0</v>
      </c>
      <c r="H12" s="19">
        <f t="shared" si="1"/>
        <v>65.349999999999994</v>
      </c>
      <c r="I12" s="9"/>
      <c r="J12" s="19">
        <f>I12+апрель!J14</f>
        <v>0</v>
      </c>
      <c r="K12" s="8"/>
      <c r="L12" s="18">
        <f>K12+апрель!L14</f>
        <v>0</v>
      </c>
    </row>
    <row r="13" spans="1:13">
      <c r="A13" s="1">
        <f t="shared" si="2"/>
        <v>11</v>
      </c>
      <c r="B13" s="34" t="str">
        <f>апрель!B15</f>
        <v>Тек.рем.общ.имущ.дома</v>
      </c>
      <c r="C13" s="8">
        <f>30433.23+6165.14</f>
        <v>36598.370000000003</v>
      </c>
      <c r="D13" s="18">
        <f>C13+апрель!D15</f>
        <v>142154.01</v>
      </c>
      <c r="E13" s="9">
        <f>6240.01+30258.63</f>
        <v>36498.639999999999</v>
      </c>
      <c r="F13" s="18">
        <f>E13+апрель!F15</f>
        <v>173646.77000000002</v>
      </c>
      <c r="G13" s="18">
        <f t="shared" si="0"/>
        <v>-99.730000000003201</v>
      </c>
      <c r="H13" s="19">
        <f t="shared" si="1"/>
        <v>31492.760000000009</v>
      </c>
      <c r="I13" s="9"/>
      <c r="J13" s="19">
        <f>I13+апрель!J15</f>
        <v>0</v>
      </c>
      <c r="K13" s="8"/>
      <c r="L13" s="18">
        <f>K13+апрель!L15</f>
        <v>0</v>
      </c>
    </row>
    <row r="14" spans="1:13" ht="14.25" customHeight="1">
      <c r="A14" s="1">
        <f t="shared" si="2"/>
        <v>12</v>
      </c>
      <c r="B14" s="34" t="str">
        <f>апрель!B16</f>
        <v>Управление многокв.домом</v>
      </c>
      <c r="C14" s="8">
        <f>11933.61+2417.48</f>
        <v>14351.09</v>
      </c>
      <c r="D14" s="18">
        <f>C14+апрель!D16</f>
        <v>55711.839999999997</v>
      </c>
      <c r="E14" s="9">
        <f>2446.78+11550.83</f>
        <v>13997.61</v>
      </c>
      <c r="F14" s="18">
        <f>E14+апрель!F16</f>
        <v>65863.679999999993</v>
      </c>
      <c r="G14" s="18">
        <f t="shared" si="0"/>
        <v>-353.47999999999956</v>
      </c>
      <c r="H14" s="19">
        <f t="shared" si="1"/>
        <v>10151.839999999997</v>
      </c>
      <c r="I14" s="9"/>
      <c r="J14" s="19">
        <f>I14+апрель!J16</f>
        <v>0</v>
      </c>
      <c r="K14" s="8"/>
      <c r="L14" s="18">
        <f>K14+апрель!L16</f>
        <v>0</v>
      </c>
    </row>
    <row r="15" spans="1:13">
      <c r="A15" s="1">
        <f t="shared" si="2"/>
        <v>13</v>
      </c>
      <c r="B15" s="34" t="str">
        <f>апрель!B17</f>
        <v>Водоотведение(кв)</v>
      </c>
      <c r="C15" s="8">
        <f>81893.38+15872.59</f>
        <v>97765.97</v>
      </c>
      <c r="D15" s="18">
        <f>C15+апрель!D17</f>
        <v>375159.52</v>
      </c>
      <c r="E15" s="9">
        <f>17354.4+79387.83</f>
        <v>96742.23000000001</v>
      </c>
      <c r="F15" s="18">
        <f>E15+апрель!F17</f>
        <v>441861.05999999994</v>
      </c>
      <c r="G15" s="18">
        <f t="shared" si="0"/>
        <v>-1023.7399999999907</v>
      </c>
      <c r="H15" s="19">
        <f t="shared" si="1"/>
        <v>66701.539999999921</v>
      </c>
      <c r="I15" s="9"/>
      <c r="J15" s="19">
        <f>I15+апрель!J17</f>
        <v>0</v>
      </c>
      <c r="K15" s="8"/>
      <c r="L15" s="18">
        <f>K15+апрель!L17</f>
        <v>0</v>
      </c>
    </row>
    <row r="16" spans="1:13" ht="13.5" customHeight="1">
      <c r="A16" s="1">
        <f t="shared" si="2"/>
        <v>14</v>
      </c>
      <c r="B16" s="34" t="str">
        <f>апрель!B18</f>
        <v>Электроснабж.на общед.нужды</v>
      </c>
      <c r="C16" s="8">
        <f>5209.78+1024.83</f>
        <v>6234.61</v>
      </c>
      <c r="D16" s="18">
        <f>C16+апрель!D18</f>
        <v>25919.22</v>
      </c>
      <c r="E16" s="9">
        <f>1113.12+4909.33</f>
        <v>6022.45</v>
      </c>
      <c r="F16" s="18">
        <f>E16+апрель!F18</f>
        <v>31188.329999999998</v>
      </c>
      <c r="G16" s="18">
        <f t="shared" si="0"/>
        <v>-212.15999999999985</v>
      </c>
      <c r="H16" s="19">
        <f t="shared" si="1"/>
        <v>5269.1099999999969</v>
      </c>
      <c r="I16" s="9"/>
      <c r="J16" s="19">
        <f>I16+апрель!J18</f>
        <v>0</v>
      </c>
      <c r="K16" s="8"/>
      <c r="L16" s="18">
        <f>K16+апрель!L18</f>
        <v>0</v>
      </c>
    </row>
    <row r="17" spans="1:12">
      <c r="A17" s="1">
        <f t="shared" si="2"/>
        <v>15</v>
      </c>
      <c r="B17" s="34" t="str">
        <f>апрель!B19</f>
        <v>Эксплуатация общедом.ПУ</v>
      </c>
      <c r="C17" s="8">
        <f>3230.97+654.47</f>
        <v>3885.4399999999996</v>
      </c>
      <c r="D17" s="18">
        <f>C17+апрель!D19</f>
        <v>15093.599999999999</v>
      </c>
      <c r="E17" s="9">
        <f>662.42+3220.22</f>
        <v>3882.64</v>
      </c>
      <c r="F17" s="18">
        <f>E17+апрель!F19</f>
        <v>18272.93</v>
      </c>
      <c r="G17" s="18">
        <f t="shared" si="0"/>
        <v>-2.7999999999997272</v>
      </c>
      <c r="H17" s="19">
        <f t="shared" si="1"/>
        <v>3179.3300000000017</v>
      </c>
      <c r="I17" s="9"/>
      <c r="J17" s="19">
        <f>I17+апрель!J19</f>
        <v>0</v>
      </c>
      <c r="K17" s="8"/>
      <c r="L17" s="18">
        <f>K17+апрель!L19</f>
        <v>0</v>
      </c>
    </row>
    <row r="18" spans="1:12" ht="15" customHeight="1">
      <c r="A18" s="1">
        <f t="shared" si="2"/>
        <v>16</v>
      </c>
      <c r="B18" s="34" t="str">
        <f>апрель!B20</f>
        <v>Водоотведение(о/д нужды)</v>
      </c>
      <c r="C18" s="8">
        <f>0+0</f>
        <v>0</v>
      </c>
      <c r="D18" s="18">
        <f>C18+апрель!D20</f>
        <v>0</v>
      </c>
      <c r="E18" s="9">
        <f>0+0</f>
        <v>0</v>
      </c>
      <c r="F18" s="18">
        <f>E18+апрель!F20</f>
        <v>3.19</v>
      </c>
      <c r="G18" s="18">
        <f t="shared" si="0"/>
        <v>0</v>
      </c>
      <c r="H18" s="19">
        <f t="shared" si="1"/>
        <v>3.19</v>
      </c>
      <c r="I18" s="9"/>
      <c r="J18" s="19">
        <f>I18+апрель!J20</f>
        <v>0</v>
      </c>
      <c r="K18" s="8"/>
      <c r="L18" s="18">
        <f>K18+апрель!L20</f>
        <v>0</v>
      </c>
    </row>
    <row r="19" spans="1:12">
      <c r="A19" s="1">
        <f t="shared" si="2"/>
        <v>17</v>
      </c>
      <c r="B19" s="34" t="str">
        <f>апрель!B21</f>
        <v>Отопление (о/д нужды)</v>
      </c>
      <c r="C19" s="8">
        <f>0+0</f>
        <v>0</v>
      </c>
      <c r="D19" s="18">
        <f>C19+апрель!D21</f>
        <v>0</v>
      </c>
      <c r="E19" s="9">
        <f>0+0</f>
        <v>0</v>
      </c>
      <c r="F19" s="18">
        <f>E19+апрель!F21</f>
        <v>189.70999999999998</v>
      </c>
      <c r="G19" s="18">
        <f t="shared" si="0"/>
        <v>0</v>
      </c>
      <c r="H19" s="19">
        <f t="shared" si="1"/>
        <v>189.70999999999998</v>
      </c>
      <c r="I19" s="9"/>
      <c r="J19" s="19">
        <f>I19+апрель!J21</f>
        <v>0</v>
      </c>
      <c r="K19" s="8"/>
      <c r="L19" s="18">
        <f>K19+апрель!L21</f>
        <v>0</v>
      </c>
    </row>
    <row r="20" spans="1:12" ht="14.25" customHeight="1">
      <c r="A20" s="1">
        <f t="shared" si="2"/>
        <v>18</v>
      </c>
      <c r="B20" s="34" t="str">
        <f>апрель!B22</f>
        <v>Гор.водоснабж.(о/д нужды)</v>
      </c>
      <c r="C20" s="8">
        <f>1029.56+5087.58</f>
        <v>6117.1399999999994</v>
      </c>
      <c r="D20" s="18">
        <f>C20+апрель!D22</f>
        <v>23754.51</v>
      </c>
      <c r="E20" s="9">
        <f>4964.14+1043.54</f>
        <v>6007.68</v>
      </c>
      <c r="F20" s="18">
        <f>E20+апрель!F22</f>
        <v>28214.28</v>
      </c>
      <c r="G20" s="18">
        <f t="shared" si="0"/>
        <v>-109.45999999999913</v>
      </c>
      <c r="H20" s="19">
        <f t="shared" si="1"/>
        <v>4459.7700000000004</v>
      </c>
      <c r="I20" s="9"/>
      <c r="J20" s="19">
        <f>I20+апрель!J22</f>
        <v>0</v>
      </c>
      <c r="K20" s="9"/>
      <c r="L20" s="18">
        <f>K20+апрель!L22</f>
        <v>0</v>
      </c>
    </row>
    <row r="21" spans="1:12">
      <c r="A21" s="1">
        <f t="shared" si="2"/>
        <v>19</v>
      </c>
      <c r="B21" s="34" t="str">
        <f>апрель!B23</f>
        <v>Холодн водосн о/д нужды</v>
      </c>
      <c r="C21" s="8">
        <f>445.48+2200.6</f>
        <v>2646.08</v>
      </c>
      <c r="D21" s="18">
        <f>C21+апрель!D23</f>
        <v>10289.540000000001</v>
      </c>
      <c r="E21" s="9">
        <f>2480.51+449.53</f>
        <v>2930.04</v>
      </c>
      <c r="F21" s="18">
        <f>E21+апрель!F23</f>
        <v>12239.529999999999</v>
      </c>
      <c r="G21" s="18">
        <f t="shared" si="0"/>
        <v>283.96000000000004</v>
      </c>
      <c r="H21" s="19">
        <f t="shared" si="1"/>
        <v>1949.989999999998</v>
      </c>
      <c r="I21" s="9"/>
      <c r="J21" s="19">
        <f>I21+апрель!J23</f>
        <v>0</v>
      </c>
      <c r="K21" s="8"/>
      <c r="L21" s="18">
        <f>K21+апрель!L23</f>
        <v>0</v>
      </c>
    </row>
    <row r="22" spans="1:12">
      <c r="A22" s="1">
        <f t="shared" si="2"/>
        <v>20</v>
      </c>
      <c r="B22" s="34">
        <f>апрель!B24</f>
        <v>0</v>
      </c>
      <c r="C22" s="8"/>
      <c r="D22" s="18">
        <f>C22+апрель!D24</f>
        <v>1016.02</v>
      </c>
      <c r="E22" s="9"/>
      <c r="F22" s="18">
        <f>E22+апрель!F24</f>
        <v>338.67</v>
      </c>
      <c r="G22" s="18">
        <f t="shared" si="0"/>
        <v>0</v>
      </c>
      <c r="H22" s="19">
        <f t="shared" si="1"/>
        <v>-677.34999999999991</v>
      </c>
      <c r="I22" s="9"/>
      <c r="J22" s="19">
        <f>I22+апрель!J24</f>
        <v>0</v>
      </c>
      <c r="K22" s="8"/>
      <c r="L22" s="18">
        <f>K22+апрель!L24</f>
        <v>0</v>
      </c>
    </row>
    <row r="23" spans="1:12">
      <c r="A23" s="1"/>
      <c r="B23" s="20" t="s">
        <v>12</v>
      </c>
      <c r="C23" s="18">
        <f t="shared" ref="C23:L23" si="3">SUM(C3:C22)</f>
        <v>655151.82999999984</v>
      </c>
      <c r="D23" s="18">
        <f t="shared" si="3"/>
        <v>2907352.21</v>
      </c>
      <c r="E23" s="19">
        <f t="shared" si="3"/>
        <v>703300.50000000012</v>
      </c>
      <c r="F23" s="18">
        <f t="shared" si="3"/>
        <v>3521387.6100000003</v>
      </c>
      <c r="G23" s="18">
        <f t="shared" si="3"/>
        <v>48148.67</v>
      </c>
      <c r="H23" s="19">
        <f t="shared" si="3"/>
        <v>614035.39999999979</v>
      </c>
      <c r="I23" s="19">
        <f t="shared" si="3"/>
        <v>0</v>
      </c>
      <c r="J23" s="19">
        <f t="shared" si="3"/>
        <v>0</v>
      </c>
      <c r="K23" s="18">
        <f t="shared" si="3"/>
        <v>0</v>
      </c>
      <c r="L23" s="18">
        <f t="shared" si="3"/>
        <v>0</v>
      </c>
    </row>
    <row r="25" spans="1:12" ht="3" customHeight="1"/>
    <row r="26" spans="1:12" hidden="1"/>
    <row r="27" spans="1:12" hidden="1"/>
    <row r="28" spans="1:12">
      <c r="B28" s="1" t="s">
        <v>36</v>
      </c>
      <c r="C28" s="9">
        <f>C10+C11+C12+C15+C18+C21</f>
        <v>157363.18999999997</v>
      </c>
      <c r="D28" s="9">
        <f t="shared" ref="D28:J28" si="4">D10+D11+D12+D15+D18+D21</f>
        <v>603999.25</v>
      </c>
      <c r="E28" s="9">
        <f t="shared" si="4"/>
        <v>155781.13000000003</v>
      </c>
      <c r="F28" s="9">
        <f t="shared" si="4"/>
        <v>709969.34999999986</v>
      </c>
      <c r="G28" s="9">
        <f t="shared" si="4"/>
        <v>-1582.0599999999895</v>
      </c>
      <c r="H28" s="9">
        <f t="shared" si="4"/>
        <v>105970.09999999992</v>
      </c>
      <c r="I28" s="9">
        <f t="shared" si="4"/>
        <v>0</v>
      </c>
      <c r="J28" s="9">
        <f t="shared" si="4"/>
        <v>0</v>
      </c>
    </row>
    <row r="29" spans="1:12">
      <c r="B29" s="1" t="s">
        <v>37</v>
      </c>
      <c r="C29" s="9">
        <f>C16</f>
        <v>6234.61</v>
      </c>
      <c r="D29" s="9">
        <f t="shared" ref="D29:J29" si="5">D16</f>
        <v>25919.22</v>
      </c>
      <c r="E29" s="9">
        <f t="shared" si="5"/>
        <v>6022.45</v>
      </c>
      <c r="F29" s="9">
        <f t="shared" si="5"/>
        <v>31188.329999999998</v>
      </c>
      <c r="G29" s="9">
        <f t="shared" si="5"/>
        <v>-212.15999999999985</v>
      </c>
      <c r="H29" s="9">
        <f t="shared" si="5"/>
        <v>5269.1099999999969</v>
      </c>
      <c r="I29" s="9">
        <f t="shared" si="5"/>
        <v>0</v>
      </c>
      <c r="J29" s="9">
        <f t="shared" si="5"/>
        <v>0</v>
      </c>
    </row>
    <row r="30" spans="1:12">
      <c r="B30" s="1" t="s">
        <v>38</v>
      </c>
      <c r="C30" s="9">
        <f>C4+C5+C19+C20</f>
        <v>341409.7</v>
      </c>
      <c r="D30" s="9">
        <f t="shared" ref="D30:J30" si="6">D4+D5+D19+D20</f>
        <v>1682989.6500000001</v>
      </c>
      <c r="E30" s="9">
        <f t="shared" si="6"/>
        <v>378677.62</v>
      </c>
      <c r="F30" s="9">
        <f t="shared" si="6"/>
        <v>1988775.24</v>
      </c>
      <c r="G30" s="9">
        <f t="shared" si="6"/>
        <v>37267.920000000006</v>
      </c>
      <c r="H30" s="9">
        <f t="shared" si="6"/>
        <v>305785.59000000003</v>
      </c>
      <c r="I30" s="9">
        <f t="shared" si="6"/>
        <v>0</v>
      </c>
      <c r="J30" s="9">
        <f t="shared" si="6"/>
        <v>0</v>
      </c>
    </row>
    <row r="33" spans="10:11">
      <c r="J33">
        <v>96470.65</v>
      </c>
      <c r="K33">
        <v>129529.17</v>
      </c>
    </row>
    <row r="34" spans="10:11">
      <c r="J34">
        <v>558681.18000000005</v>
      </c>
      <c r="K34">
        <v>573771.32999999996</v>
      </c>
    </row>
    <row r="35" spans="10:11">
      <c r="J35">
        <f>J33+J34</f>
        <v>655151.83000000007</v>
      </c>
      <c r="K35">
        <f>K33+K34</f>
        <v>703300.5</v>
      </c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C37" sqref="C37:C38"/>
    </sheetView>
  </sheetViews>
  <sheetFormatPr defaultRowHeight="12.75"/>
  <cols>
    <col min="1" max="1" width="4.140625" style="10" customWidth="1"/>
    <col min="2" max="2" width="28.28515625" customWidth="1"/>
    <col min="3" max="3" width="11.28515625" customWidth="1"/>
    <col min="4" max="4" width="12.7109375" customWidth="1"/>
    <col min="5" max="5" width="10.140625" customWidth="1"/>
    <col min="6" max="6" width="12.28515625" customWidth="1"/>
    <col min="7" max="7" width="11.42578125" customWidth="1"/>
    <col min="8" max="8" width="12.140625" customWidth="1"/>
    <col min="9" max="9" width="11.42578125" customWidth="1"/>
    <col min="10" max="10" width="11" customWidth="1"/>
    <col min="11" max="11" width="10.85546875" customWidth="1"/>
    <col min="12" max="12" width="11" customWidth="1"/>
    <col min="13" max="13" width="10.7109375" bestFit="1" customWidth="1"/>
  </cols>
  <sheetData>
    <row r="1" spans="1:13">
      <c r="E1" s="11"/>
      <c r="F1" s="12" t="s">
        <v>17</v>
      </c>
      <c r="G1" s="12"/>
      <c r="I1" s="13"/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tr">
        <f>май!B3</f>
        <v>Содержание общ.имущ.дома</v>
      </c>
      <c r="C3" s="8">
        <f>59645.9+13104.68</f>
        <v>72750.58</v>
      </c>
      <c r="D3" s="18">
        <f>C3+май!D3</f>
        <v>342401.03</v>
      </c>
      <c r="E3" s="9">
        <f>13046.37+63598.51</f>
        <v>76644.88</v>
      </c>
      <c r="F3" s="18">
        <f>E3+май!F3</f>
        <v>397986.4</v>
      </c>
      <c r="G3" s="18">
        <f>E3-C3</f>
        <v>3894.3000000000029</v>
      </c>
      <c r="H3" s="19">
        <f>F3-D3</f>
        <v>55585.369999999995</v>
      </c>
      <c r="I3" s="9"/>
      <c r="J3" s="19">
        <f>I3+май!J3</f>
        <v>0</v>
      </c>
      <c r="K3" s="8"/>
      <c r="L3" s="18">
        <f>K3+май!L3</f>
        <v>0</v>
      </c>
    </row>
    <row r="4" spans="1:13">
      <c r="A4" s="1">
        <f>A3+1</f>
        <v>2</v>
      </c>
      <c r="B4" s="34" t="str">
        <f>май!B4</f>
        <v>Отопление</v>
      </c>
      <c r="C4" s="8">
        <f>0+0</f>
        <v>0</v>
      </c>
      <c r="D4" s="18">
        <f>C4+май!D4</f>
        <v>1059198.02</v>
      </c>
      <c r="E4" s="9">
        <f>31241.7+172067.5</f>
        <v>203309.2</v>
      </c>
      <c r="F4" s="18">
        <f>E4+май!F4</f>
        <v>1455636.27</v>
      </c>
      <c r="G4" s="18">
        <f t="shared" ref="G4:H22" si="0">E4-C4</f>
        <v>203309.2</v>
      </c>
      <c r="H4" s="19">
        <f t="shared" si="0"/>
        <v>396438.25</v>
      </c>
      <c r="I4" s="9"/>
      <c r="J4" s="19">
        <f>I4+май!J4</f>
        <v>0</v>
      </c>
      <c r="K4" s="8"/>
      <c r="L4" s="18">
        <f>K4+май!L4</f>
        <v>0</v>
      </c>
      <c r="M4" s="24"/>
    </row>
    <row r="5" spans="1:13">
      <c r="A5" s="1">
        <f t="shared" ref="A5:A22" si="1">A4+1</f>
        <v>3</v>
      </c>
      <c r="B5" s="42" t="str">
        <f>май!B5</f>
        <v>Горячее водоснабжение</v>
      </c>
      <c r="C5" s="8">
        <f>132136.95+30521.42+508.01</f>
        <v>163166.38</v>
      </c>
      <c r="D5" s="18">
        <f>C5+май!D5</f>
        <v>763203.5</v>
      </c>
      <c r="E5" s="9">
        <f>33174.93+144715.7+677.34</f>
        <v>178567.97</v>
      </c>
      <c r="F5" s="18">
        <f>E5+май!F5</f>
        <v>886612.14999999991</v>
      </c>
      <c r="G5" s="18">
        <f t="shared" si="0"/>
        <v>15401.589999999997</v>
      </c>
      <c r="H5" s="19">
        <f t="shared" si="0"/>
        <v>123408.64999999991</v>
      </c>
      <c r="I5" s="9"/>
      <c r="J5" s="19">
        <f>I5+май!J5</f>
        <v>0</v>
      </c>
      <c r="K5" s="8"/>
      <c r="L5" s="18">
        <f>K5+май!L5</f>
        <v>0</v>
      </c>
    </row>
    <row r="6" spans="1:13">
      <c r="A6" s="1">
        <f t="shared" si="1"/>
        <v>4</v>
      </c>
      <c r="B6" s="34" t="str">
        <f>май!B6</f>
        <v>Сод.и ремонт АППЗ</v>
      </c>
      <c r="C6" s="8">
        <f>2368.58+520.43</f>
        <v>2889.0099999999998</v>
      </c>
      <c r="D6" s="18">
        <f>C6+май!D6</f>
        <v>13600.230000000001</v>
      </c>
      <c r="E6" s="9">
        <f>520+2548.65</f>
        <v>3068.65</v>
      </c>
      <c r="F6" s="18">
        <f>E6+май!F6</f>
        <v>15957.14</v>
      </c>
      <c r="G6" s="18">
        <f t="shared" si="0"/>
        <v>179.64000000000033</v>
      </c>
      <c r="H6" s="19">
        <f t="shared" si="0"/>
        <v>2356.909999999998</v>
      </c>
      <c r="I6" s="9"/>
      <c r="J6" s="19">
        <f>I6+май!J6</f>
        <v>0</v>
      </c>
      <c r="K6" s="8"/>
      <c r="L6" s="18">
        <f>K6+май!L6</f>
        <v>0</v>
      </c>
    </row>
    <row r="7" spans="1:13">
      <c r="A7" s="1">
        <f t="shared" si="1"/>
        <v>5</v>
      </c>
      <c r="B7" s="34" t="str">
        <f>май!B7</f>
        <v>Сод.и ремонт лифтов</v>
      </c>
      <c r="C7" s="8">
        <f>15198.1+3335.28</f>
        <v>18533.38</v>
      </c>
      <c r="D7" s="18">
        <f>C7+май!D7</f>
        <v>49754.51</v>
      </c>
      <c r="E7" s="9">
        <f>3286.13+17010.07</f>
        <v>20296.2</v>
      </c>
      <c r="F7" s="18">
        <f>E7+май!F7</f>
        <v>136199.51999999999</v>
      </c>
      <c r="G7" s="18">
        <f t="shared" si="0"/>
        <v>1762.8199999999997</v>
      </c>
      <c r="H7" s="19">
        <f t="shared" si="0"/>
        <v>86445.00999999998</v>
      </c>
      <c r="I7" s="9"/>
      <c r="J7" s="19">
        <f>I7+май!J7</f>
        <v>0</v>
      </c>
      <c r="K7" s="8"/>
      <c r="L7" s="18">
        <f>K7+май!L7</f>
        <v>0</v>
      </c>
    </row>
    <row r="8" spans="1:13">
      <c r="A8" s="1">
        <f t="shared" si="1"/>
        <v>6</v>
      </c>
      <c r="B8" s="34" t="str">
        <f>май!B8</f>
        <v>Очистка мусоропроводов</v>
      </c>
      <c r="C8" s="8">
        <f>7015.25+1608.51</f>
        <v>8623.76</v>
      </c>
      <c r="D8" s="18">
        <f>C8+май!D8</f>
        <v>40507.47</v>
      </c>
      <c r="E8" s="9">
        <f>1603.86+7735.12</f>
        <v>9338.98</v>
      </c>
      <c r="F8" s="18">
        <f>E8+май!F8</f>
        <v>48081.020000000004</v>
      </c>
      <c r="G8" s="18">
        <f t="shared" si="0"/>
        <v>715.21999999999935</v>
      </c>
      <c r="H8" s="19">
        <f t="shared" si="0"/>
        <v>7573.5500000000029</v>
      </c>
      <c r="I8" s="9"/>
      <c r="J8" s="19">
        <f>I8+май!J8</f>
        <v>0</v>
      </c>
      <c r="K8" s="8"/>
      <c r="L8" s="18">
        <f>K8+май!L8</f>
        <v>0</v>
      </c>
    </row>
    <row r="9" spans="1:13" ht="14.25" customHeight="1">
      <c r="A9" s="1">
        <f t="shared" si="1"/>
        <v>7</v>
      </c>
      <c r="B9" s="34" t="str">
        <f>май!B9</f>
        <v>Уборка и сан.очистка зем.уч.</v>
      </c>
      <c r="C9" s="8">
        <f>8182.47+1797.71</f>
        <v>9980.18</v>
      </c>
      <c r="D9" s="18">
        <f>C9+май!D9</f>
        <v>46982.29</v>
      </c>
      <c r="E9" s="9">
        <f>1793.82+8783.93</f>
        <v>10577.75</v>
      </c>
      <c r="F9" s="18">
        <f>E9+май!F9</f>
        <v>55035.020000000004</v>
      </c>
      <c r="G9" s="18">
        <f t="shared" si="0"/>
        <v>597.56999999999971</v>
      </c>
      <c r="H9" s="19">
        <f t="shared" si="0"/>
        <v>8052.7300000000032</v>
      </c>
      <c r="I9" s="9"/>
      <c r="J9" s="19">
        <f>I9+май!J9</f>
        <v>0</v>
      </c>
      <c r="K9" s="8"/>
      <c r="L9" s="18">
        <f>K9+май!L9</f>
        <v>0</v>
      </c>
    </row>
    <row r="10" spans="1:13">
      <c r="A10" s="1">
        <f t="shared" si="1"/>
        <v>8</v>
      </c>
      <c r="B10" s="34" t="str">
        <f>май!B10</f>
        <v>Холодная вода</v>
      </c>
      <c r="C10" s="8">
        <f>48448.24+11264.12</f>
        <v>59712.36</v>
      </c>
      <c r="D10" s="18">
        <f>C10+май!D10</f>
        <v>278262.55</v>
      </c>
      <c r="E10" s="9">
        <f>12249.05+52341.24</f>
        <v>64590.289999999994</v>
      </c>
      <c r="F10" s="18">
        <f>E10+май!F10</f>
        <v>320384.21999999997</v>
      </c>
      <c r="G10" s="18">
        <f t="shared" si="0"/>
        <v>4877.929999999993</v>
      </c>
      <c r="H10" s="19">
        <f t="shared" si="0"/>
        <v>42121.669999999984</v>
      </c>
      <c r="I10" s="9"/>
      <c r="J10" s="19">
        <f>I10+май!J10</f>
        <v>0</v>
      </c>
      <c r="K10" s="8"/>
      <c r="L10" s="18">
        <f>K10+май!L10</f>
        <v>0</v>
      </c>
    </row>
    <row r="11" spans="1:13">
      <c r="A11" s="1">
        <f t="shared" si="1"/>
        <v>9</v>
      </c>
      <c r="B11" s="34" t="str">
        <f>май!B11</f>
        <v>Канализир.х.воды</v>
      </c>
      <c r="C11" s="8">
        <f>0+0</f>
        <v>0</v>
      </c>
      <c r="D11" s="18">
        <f>C11+май!D11</f>
        <v>0</v>
      </c>
      <c r="E11" s="9">
        <f>0+0</f>
        <v>0</v>
      </c>
      <c r="F11" s="18">
        <f>E11+май!F11</f>
        <v>6.289999999999992</v>
      </c>
      <c r="G11" s="18">
        <f t="shared" si="0"/>
        <v>0</v>
      </c>
      <c r="H11" s="19">
        <f t="shared" si="0"/>
        <v>6.289999999999992</v>
      </c>
      <c r="I11" s="9"/>
      <c r="J11" s="19">
        <f>I11+май!J11</f>
        <v>0</v>
      </c>
      <c r="K11" s="8"/>
      <c r="L11" s="18">
        <f>K11+май!L11</f>
        <v>0</v>
      </c>
    </row>
    <row r="12" spans="1:13">
      <c r="A12" s="1">
        <f t="shared" si="1"/>
        <v>10</v>
      </c>
      <c r="B12" s="34" t="str">
        <f>май!B12</f>
        <v>Канализир.г.воды</v>
      </c>
      <c r="C12" s="8">
        <f>0+0</f>
        <v>0</v>
      </c>
      <c r="D12" s="18">
        <f>C12+май!D12</f>
        <v>0</v>
      </c>
      <c r="E12" s="9">
        <f>0+0</f>
        <v>0</v>
      </c>
      <c r="F12" s="18">
        <f>E12+май!F12</f>
        <v>65.349999999999994</v>
      </c>
      <c r="G12" s="18">
        <f t="shared" si="0"/>
        <v>0</v>
      </c>
      <c r="H12" s="19">
        <f t="shared" si="0"/>
        <v>65.349999999999994</v>
      </c>
      <c r="I12" s="9"/>
      <c r="J12" s="19">
        <f>I12+май!J12</f>
        <v>0</v>
      </c>
      <c r="K12" s="8"/>
      <c r="L12" s="18">
        <f>K12+май!L12</f>
        <v>0</v>
      </c>
    </row>
    <row r="13" spans="1:13">
      <c r="A13" s="1">
        <f t="shared" si="1"/>
        <v>11</v>
      </c>
      <c r="B13" s="34" t="str">
        <f>май!B13</f>
        <v>Тек.рем.общ.имущ.дома</v>
      </c>
      <c r="C13" s="8">
        <f>31437.91+6907.14</f>
        <v>38345.050000000003</v>
      </c>
      <c r="D13" s="18">
        <f>C13+май!D13</f>
        <v>180499.06</v>
      </c>
      <c r="E13" s="9">
        <f>6894.12+34260.12</f>
        <v>41154.240000000005</v>
      </c>
      <c r="F13" s="18">
        <f>E13+май!F13</f>
        <v>214801.01</v>
      </c>
      <c r="G13" s="18">
        <f t="shared" si="0"/>
        <v>2809.1900000000023</v>
      </c>
      <c r="H13" s="19">
        <f t="shared" si="0"/>
        <v>34301.950000000012</v>
      </c>
      <c r="I13" s="9"/>
      <c r="J13" s="19">
        <f>I13+май!J13</f>
        <v>0</v>
      </c>
      <c r="K13" s="8"/>
      <c r="L13" s="18">
        <f>K13+май!L13</f>
        <v>0</v>
      </c>
    </row>
    <row r="14" spans="1:13" ht="15" customHeight="1">
      <c r="A14" s="1">
        <f t="shared" si="1"/>
        <v>12</v>
      </c>
      <c r="B14" s="34" t="str">
        <f>май!B14</f>
        <v>Управление многокв.домом</v>
      </c>
      <c r="C14" s="8">
        <f>12327.55+2708.42</f>
        <v>15035.97</v>
      </c>
      <c r="D14" s="18">
        <f>C14+май!D14</f>
        <v>70747.81</v>
      </c>
      <c r="E14" s="9">
        <f>2686.82+12885.53</f>
        <v>15572.35</v>
      </c>
      <c r="F14" s="18">
        <f>E14+май!F14</f>
        <v>81436.03</v>
      </c>
      <c r="G14" s="18">
        <f t="shared" si="0"/>
        <v>536.38000000000102</v>
      </c>
      <c r="H14" s="19">
        <f t="shared" si="0"/>
        <v>10688.220000000001</v>
      </c>
      <c r="I14" s="9"/>
      <c r="J14" s="19">
        <f>I14+май!J14</f>
        <v>0</v>
      </c>
      <c r="K14" s="8"/>
      <c r="L14" s="18">
        <f>K14+май!L14</f>
        <v>0</v>
      </c>
    </row>
    <row r="15" spans="1:13">
      <c r="A15" s="1">
        <f t="shared" si="1"/>
        <v>13</v>
      </c>
      <c r="B15" s="34" t="str">
        <f>май!B15</f>
        <v>Водоотведение(кв)</v>
      </c>
      <c r="C15" s="8">
        <f>82984.23+19242.59</f>
        <v>102226.81999999999</v>
      </c>
      <c r="D15" s="18">
        <f>C15+май!D15</f>
        <v>477386.34</v>
      </c>
      <c r="E15" s="9">
        <f>20991.7+90475.56</f>
        <v>111467.26</v>
      </c>
      <c r="F15" s="18">
        <f>E15+май!F15</f>
        <v>553328.31999999995</v>
      </c>
      <c r="G15" s="18">
        <f t="shared" si="0"/>
        <v>9240.4400000000023</v>
      </c>
      <c r="H15" s="19">
        <f t="shared" si="0"/>
        <v>75941.979999999923</v>
      </c>
      <c r="I15" s="9"/>
      <c r="J15" s="19">
        <f>I15+май!J15</f>
        <v>0</v>
      </c>
      <c r="K15" s="8"/>
      <c r="L15" s="18">
        <f>K15+май!L15</f>
        <v>0</v>
      </c>
    </row>
    <row r="16" spans="1:13" ht="13.5" customHeight="1">
      <c r="A16" s="1">
        <f t="shared" si="1"/>
        <v>14</v>
      </c>
      <c r="B16" s="34" t="str">
        <f>май!B16</f>
        <v>Электроснабж.на общед.нужды</v>
      </c>
      <c r="C16" s="8">
        <f>4712.65+1025.25</f>
        <v>5737.9</v>
      </c>
      <c r="D16" s="18">
        <f>C16+май!D16</f>
        <v>31657.120000000003</v>
      </c>
      <c r="E16" s="9">
        <f>1029.79+5986.46</f>
        <v>7016.25</v>
      </c>
      <c r="F16" s="18">
        <f>E16+май!F16</f>
        <v>38204.58</v>
      </c>
      <c r="G16" s="18">
        <f t="shared" si="0"/>
        <v>1278.3500000000004</v>
      </c>
      <c r="H16" s="19">
        <f t="shared" si="0"/>
        <v>6547.4599999999991</v>
      </c>
      <c r="I16" s="9"/>
      <c r="J16" s="19">
        <f>I16+май!J16</f>
        <v>0</v>
      </c>
      <c r="K16" s="8"/>
      <c r="L16" s="18">
        <f>K16+май!L16</f>
        <v>0</v>
      </c>
    </row>
    <row r="17" spans="1:12">
      <c r="A17" s="1">
        <f t="shared" si="1"/>
        <v>15</v>
      </c>
      <c r="B17" s="34" t="str">
        <f>май!B17</f>
        <v>Эксплуатация общедом.ПУ</v>
      </c>
      <c r="C17" s="8">
        <f>3337.63+733.25</f>
        <v>4070.88</v>
      </c>
      <c r="D17" s="18">
        <f>C17+май!D17</f>
        <v>19164.48</v>
      </c>
      <c r="E17" s="9">
        <f>737+3630.26</f>
        <v>4367.26</v>
      </c>
      <c r="F17" s="18">
        <f>E17+май!F17</f>
        <v>22640.190000000002</v>
      </c>
      <c r="G17" s="18">
        <f t="shared" si="0"/>
        <v>296.38000000000011</v>
      </c>
      <c r="H17" s="19">
        <f t="shared" si="0"/>
        <v>3475.7100000000028</v>
      </c>
      <c r="I17" s="9"/>
      <c r="J17" s="19">
        <f>I17+май!J17</f>
        <v>0</v>
      </c>
      <c r="K17" s="8"/>
      <c r="L17" s="18">
        <f>K17+май!L17</f>
        <v>0</v>
      </c>
    </row>
    <row r="18" spans="1:12" ht="12.75" customHeight="1">
      <c r="A18" s="1">
        <f t="shared" si="1"/>
        <v>16</v>
      </c>
      <c r="B18" s="34" t="str">
        <f>май!B18</f>
        <v>Водоотведение(о/д нужды)</v>
      </c>
      <c r="C18" s="8">
        <f>0+0</f>
        <v>0</v>
      </c>
      <c r="D18" s="18">
        <f>C18+май!D18</f>
        <v>0</v>
      </c>
      <c r="E18" s="9">
        <f>0-85.5</f>
        <v>-85.5</v>
      </c>
      <c r="F18" s="18">
        <f>E18+май!F18</f>
        <v>-82.31</v>
      </c>
      <c r="G18" s="18">
        <f t="shared" si="0"/>
        <v>-85.5</v>
      </c>
      <c r="H18" s="19">
        <f t="shared" si="0"/>
        <v>-82.31</v>
      </c>
      <c r="I18" s="9"/>
      <c r="J18" s="19">
        <f>I18+май!J18</f>
        <v>0</v>
      </c>
      <c r="K18" s="8"/>
      <c r="L18" s="18">
        <f>K18+май!L18</f>
        <v>0</v>
      </c>
    </row>
    <row r="19" spans="1:12">
      <c r="A19" s="1">
        <f t="shared" si="1"/>
        <v>17</v>
      </c>
      <c r="B19" s="34" t="str">
        <f>май!B19</f>
        <v>Отопление (о/д нужды)</v>
      </c>
      <c r="C19" s="8">
        <f>0+0</f>
        <v>0</v>
      </c>
      <c r="D19" s="18">
        <f>C19+май!D19</f>
        <v>0</v>
      </c>
      <c r="E19" s="9">
        <f>0+0</f>
        <v>0</v>
      </c>
      <c r="F19" s="18">
        <f>E19+май!F19</f>
        <v>189.70999999999998</v>
      </c>
      <c r="G19" s="18">
        <f t="shared" si="0"/>
        <v>0</v>
      </c>
      <c r="H19" s="19">
        <f t="shared" si="0"/>
        <v>189.70999999999998</v>
      </c>
      <c r="I19" s="9"/>
      <c r="J19" s="19">
        <f>I19+май!J19</f>
        <v>0</v>
      </c>
      <c r="K19" s="8"/>
      <c r="L19" s="18">
        <f>K19+май!L19</f>
        <v>0</v>
      </c>
    </row>
    <row r="20" spans="1:12" ht="12.75" customHeight="1">
      <c r="A20" s="1">
        <f t="shared" si="1"/>
        <v>18</v>
      </c>
      <c r="B20" s="34" t="str">
        <f>май!B20</f>
        <v>Гор.водоснабж.(о/д нужды)</v>
      </c>
      <c r="C20" s="8">
        <f>3940.28+854.43</f>
        <v>4794.71</v>
      </c>
      <c r="D20" s="18">
        <f>C20+май!D20</f>
        <v>28549.219999999998</v>
      </c>
      <c r="E20" s="9">
        <f>957.32+4781.56</f>
        <v>5738.88</v>
      </c>
      <c r="F20" s="18">
        <f>E20+май!F20</f>
        <v>33953.159999999996</v>
      </c>
      <c r="G20" s="18">
        <f t="shared" si="0"/>
        <v>944.17000000000007</v>
      </c>
      <c r="H20" s="19">
        <f t="shared" si="0"/>
        <v>5403.9399999999987</v>
      </c>
      <c r="I20" s="9"/>
      <c r="J20" s="19">
        <f>I20+май!J20</f>
        <v>0</v>
      </c>
      <c r="K20" s="9"/>
      <c r="L20" s="18">
        <f>K20+май!L20</f>
        <v>0</v>
      </c>
    </row>
    <row r="21" spans="1:12">
      <c r="A21" s="1">
        <f t="shared" si="1"/>
        <v>19</v>
      </c>
      <c r="B21" s="34" t="str">
        <f>май!B21</f>
        <v>Холодн водосн о/д нужды</v>
      </c>
      <c r="C21" s="8">
        <f>1663.6+361.29</f>
        <v>2024.8899999999999</v>
      </c>
      <c r="D21" s="18">
        <f>C21+май!D21</f>
        <v>12314.43</v>
      </c>
      <c r="E21" s="9">
        <f>434.62+2298.87</f>
        <v>2733.49</v>
      </c>
      <c r="F21" s="18">
        <f>E21+май!F21</f>
        <v>14973.019999999999</v>
      </c>
      <c r="G21" s="18">
        <f t="shared" si="0"/>
        <v>708.59999999999991</v>
      </c>
      <c r="H21" s="19">
        <f t="shared" si="0"/>
        <v>2658.5899999999983</v>
      </c>
      <c r="I21" s="9"/>
      <c r="J21" s="19">
        <f>I21+май!J21</f>
        <v>0</v>
      </c>
      <c r="K21" s="8"/>
      <c r="L21" s="18">
        <f>K21+май!L21</f>
        <v>0</v>
      </c>
    </row>
    <row r="22" spans="1:12">
      <c r="A22" s="1">
        <f t="shared" si="1"/>
        <v>20</v>
      </c>
      <c r="B22" s="34">
        <f>май!B22</f>
        <v>0</v>
      </c>
      <c r="C22" s="8"/>
      <c r="D22" s="18">
        <f>C22+май!D22</f>
        <v>1016.02</v>
      </c>
      <c r="E22" s="9"/>
      <c r="F22" s="18">
        <f>E22+май!F22</f>
        <v>338.67</v>
      </c>
      <c r="G22" s="18">
        <f t="shared" si="0"/>
        <v>0</v>
      </c>
      <c r="H22" s="19">
        <f t="shared" si="0"/>
        <v>-677.34999999999991</v>
      </c>
      <c r="I22" s="9"/>
      <c r="J22" s="19">
        <f>I22+май!J22</f>
        <v>0</v>
      </c>
      <c r="K22" s="8"/>
      <c r="L22" s="18">
        <f>K22+май!L22</f>
        <v>0</v>
      </c>
    </row>
    <row r="23" spans="1:12">
      <c r="A23" s="1"/>
      <c r="B23" s="20" t="s">
        <v>12</v>
      </c>
      <c r="C23" s="18">
        <f t="shared" ref="C23:L23" si="2">SUM(C3:C22)</f>
        <v>507891.87000000005</v>
      </c>
      <c r="D23" s="18">
        <f t="shared" si="2"/>
        <v>3415244.08</v>
      </c>
      <c r="E23" s="19">
        <f t="shared" si="2"/>
        <v>754358.15</v>
      </c>
      <c r="F23" s="18">
        <f t="shared" si="2"/>
        <v>4275745.7600000007</v>
      </c>
      <c r="G23" s="18">
        <f t="shared" si="2"/>
        <v>246466.28000000006</v>
      </c>
      <c r="H23" s="19">
        <f t="shared" si="2"/>
        <v>860501.6799999997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4" spans="1:12" ht="6.75" customHeight="1"/>
    <row r="25" spans="1:12" ht="2.25" customHeight="1"/>
    <row r="26" spans="1:12">
      <c r="B26" s="38" t="s">
        <v>35</v>
      </c>
      <c r="C26" s="9">
        <f t="shared" ref="C26:H26" si="3">C3+C6+C7+C8+C9+C13+C14+C17</f>
        <v>170228.81000000003</v>
      </c>
      <c r="D26" s="9">
        <f t="shared" si="3"/>
        <v>763656.87999999989</v>
      </c>
      <c r="E26" s="9">
        <f t="shared" si="3"/>
        <v>181020.31000000003</v>
      </c>
      <c r="F26" s="9">
        <f t="shared" si="3"/>
        <v>972136.33000000007</v>
      </c>
      <c r="G26" s="9">
        <f t="shared" si="3"/>
        <v>10791.500000000007</v>
      </c>
      <c r="H26" s="9">
        <f t="shared" si="3"/>
        <v>208479.44999999998</v>
      </c>
    </row>
    <row r="27" spans="1:12" ht="0.75" customHeight="1"/>
    <row r="28" spans="1:12">
      <c r="B28" s="1" t="s">
        <v>36</v>
      </c>
      <c r="C28" s="9">
        <f>C10+C11+C12+C15+C18+C21</f>
        <v>163964.07</v>
      </c>
      <c r="D28" s="9">
        <f t="shared" ref="D28:J28" si="4">D10+D11+D12+D15+D18+D21</f>
        <v>767963.32000000007</v>
      </c>
      <c r="E28" s="9">
        <f t="shared" si="4"/>
        <v>178705.53999999998</v>
      </c>
      <c r="F28" s="9">
        <f t="shared" si="4"/>
        <v>888674.8899999999</v>
      </c>
      <c r="G28" s="9">
        <f t="shared" si="4"/>
        <v>14741.469999999996</v>
      </c>
      <c r="H28" s="9">
        <f t="shared" si="4"/>
        <v>120711.56999999991</v>
      </c>
      <c r="I28" s="9">
        <f t="shared" si="4"/>
        <v>0</v>
      </c>
      <c r="J28" s="9">
        <f t="shared" si="4"/>
        <v>0</v>
      </c>
    </row>
    <row r="29" spans="1:12">
      <c r="B29" s="1" t="s">
        <v>37</v>
      </c>
      <c r="C29" s="9">
        <f>C16</f>
        <v>5737.9</v>
      </c>
      <c r="D29" s="9">
        <f t="shared" ref="D29:J29" si="5">D16</f>
        <v>31657.120000000003</v>
      </c>
      <c r="E29" s="9">
        <f t="shared" si="5"/>
        <v>7016.25</v>
      </c>
      <c r="F29" s="9">
        <f t="shared" si="5"/>
        <v>38204.58</v>
      </c>
      <c r="G29" s="9">
        <f t="shared" si="5"/>
        <v>1278.3500000000004</v>
      </c>
      <c r="H29" s="9">
        <f t="shared" si="5"/>
        <v>6547.4599999999991</v>
      </c>
      <c r="I29" s="9">
        <f t="shared" si="5"/>
        <v>0</v>
      </c>
      <c r="J29" s="9">
        <f t="shared" si="5"/>
        <v>0</v>
      </c>
    </row>
    <row r="30" spans="1:12">
      <c r="B30" s="1" t="s">
        <v>38</v>
      </c>
      <c r="C30" s="9">
        <f>C4+C5+C19+C20</f>
        <v>167961.09</v>
      </c>
      <c r="D30" s="9">
        <f t="shared" ref="D30:J30" si="6">D4+D5+D19+D20</f>
        <v>1850950.74</v>
      </c>
      <c r="E30" s="9">
        <f t="shared" si="6"/>
        <v>387616.05000000005</v>
      </c>
      <c r="F30" s="9">
        <f t="shared" si="6"/>
        <v>2376391.29</v>
      </c>
      <c r="G30" s="9">
        <f t="shared" si="6"/>
        <v>219654.96000000002</v>
      </c>
      <c r="H30" s="9">
        <f t="shared" si="6"/>
        <v>525440.54999999993</v>
      </c>
      <c r="I30" s="9">
        <f t="shared" si="6"/>
        <v>0</v>
      </c>
      <c r="J30" s="9">
        <f t="shared" si="6"/>
        <v>0</v>
      </c>
    </row>
    <row r="36" spans="9:10">
      <c r="I36">
        <v>413907.35</v>
      </c>
      <c r="J36">
        <v>623796.42000000004</v>
      </c>
    </row>
    <row r="37" spans="9:10">
      <c r="I37">
        <v>93984.52</v>
      </c>
      <c r="J37">
        <v>130561.73</v>
      </c>
    </row>
    <row r="38" spans="9:10">
      <c r="I38" s="11">
        <f>I36+I37</f>
        <v>507891.87</v>
      </c>
      <c r="J38" s="11">
        <f>J36+J37</f>
        <v>754358.15</v>
      </c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43" sqref="C43"/>
    </sheetView>
  </sheetViews>
  <sheetFormatPr defaultRowHeight="12.75"/>
  <cols>
    <col min="1" max="1" width="3.28515625" customWidth="1"/>
    <col min="2" max="2" width="28.28515625" customWidth="1"/>
    <col min="3" max="3" width="11.7109375" customWidth="1"/>
    <col min="4" max="4" width="11.85546875" customWidth="1"/>
    <col min="5" max="5" width="11" customWidth="1"/>
    <col min="6" max="6" width="11.5703125" customWidth="1"/>
    <col min="7" max="8" width="11.42578125" customWidth="1"/>
    <col min="9" max="9" width="10.140625" bestFit="1" customWidth="1"/>
    <col min="10" max="10" width="11.28515625" customWidth="1"/>
    <col min="11" max="11" width="10.140625" customWidth="1"/>
    <col min="12" max="12" width="11" customWidth="1"/>
    <col min="13" max="13" width="9.85546875" customWidth="1"/>
  </cols>
  <sheetData>
    <row r="1" spans="1:13">
      <c r="D1" s="45" t="s">
        <v>19</v>
      </c>
      <c r="E1" s="46"/>
      <c r="F1" s="46"/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 ht="13.5" customHeight="1">
      <c r="A3" s="1">
        <v>1</v>
      </c>
      <c r="B3" s="34" t="str">
        <f>июнь!B3</f>
        <v>Содержание общ.имущ.дома</v>
      </c>
      <c r="C3" s="8">
        <v>76355.179999999993</v>
      </c>
      <c r="D3" s="18">
        <f>C3+июнь!D3</f>
        <v>418756.21</v>
      </c>
      <c r="E3" s="9">
        <v>63381.51</v>
      </c>
      <c r="F3" s="18">
        <f>E3+июнь!F3</f>
        <v>461367.91000000003</v>
      </c>
      <c r="G3" s="18">
        <f>E3-C3</f>
        <v>-12973.669999999991</v>
      </c>
      <c r="H3" s="19">
        <f>F3-D3</f>
        <v>42611.700000000012</v>
      </c>
      <c r="I3" s="9"/>
      <c r="J3" s="19">
        <f>I3+июнь!J3</f>
        <v>0</v>
      </c>
      <c r="K3" s="8"/>
      <c r="L3" s="18">
        <f>K3+июнь!L3</f>
        <v>0</v>
      </c>
    </row>
    <row r="4" spans="1:13">
      <c r="A4" s="1">
        <f>A3+1</f>
        <v>2</v>
      </c>
      <c r="B4" s="34" t="str">
        <f>июнь!B4</f>
        <v>Отопление</v>
      </c>
      <c r="C4" s="8">
        <v>0</v>
      </c>
      <c r="D4" s="18">
        <f>C4+июнь!D4</f>
        <v>1059198.02</v>
      </c>
      <c r="E4" s="9">
        <v>55652.35</v>
      </c>
      <c r="F4" s="18">
        <f>E4+июнь!F4</f>
        <v>1511288.62</v>
      </c>
      <c r="G4" s="18">
        <f t="shared" ref="G4:H22" si="0">E4-C4</f>
        <v>55652.35</v>
      </c>
      <c r="H4" s="19">
        <f t="shared" si="0"/>
        <v>452090.60000000009</v>
      </c>
      <c r="I4" s="9"/>
      <c r="J4" s="19">
        <f>I4+июнь!J4</f>
        <v>0</v>
      </c>
      <c r="K4" s="8"/>
      <c r="L4" s="18">
        <f>K4+июнь!L4</f>
        <v>0</v>
      </c>
      <c r="M4" s="24">
        <f>L4-J4</f>
        <v>0</v>
      </c>
    </row>
    <row r="5" spans="1:13">
      <c r="A5" s="1">
        <f t="shared" ref="A5:A22" si="1">A4+1</f>
        <v>3</v>
      </c>
      <c r="B5" s="42" t="str">
        <f>июнь!B5</f>
        <v>Горячее водоснабжение</v>
      </c>
      <c r="C5" s="8">
        <f>158502.58+525.76</f>
        <v>159028.34</v>
      </c>
      <c r="D5" s="18">
        <f>C5+июнь!D5</f>
        <v>922231.84</v>
      </c>
      <c r="E5" s="9">
        <v>134569.81</v>
      </c>
      <c r="F5" s="18">
        <f>E5+июнь!F5</f>
        <v>1021181.96</v>
      </c>
      <c r="G5" s="18">
        <f t="shared" si="0"/>
        <v>-24458.53</v>
      </c>
      <c r="H5" s="19">
        <f t="shared" si="0"/>
        <v>98950.12</v>
      </c>
      <c r="I5" s="9"/>
      <c r="J5" s="19">
        <f>I5+июнь!J5</f>
        <v>0</v>
      </c>
      <c r="K5" s="8"/>
      <c r="L5" s="18">
        <f>K5+июнь!L5</f>
        <v>0</v>
      </c>
    </row>
    <row r="6" spans="1:13">
      <c r="A6" s="1">
        <f t="shared" si="1"/>
        <v>4</v>
      </c>
      <c r="B6" s="34" t="str">
        <f>июнь!B6</f>
        <v>Сод.и ремонт АППЗ</v>
      </c>
      <c r="C6" s="8">
        <v>2823.21</v>
      </c>
      <c r="D6" s="18">
        <f>C6+июнь!D6</f>
        <v>16423.440000000002</v>
      </c>
      <c r="E6" s="9">
        <v>2418.5</v>
      </c>
      <c r="F6" s="18">
        <f>E6+июнь!F6</f>
        <v>18375.64</v>
      </c>
      <c r="G6" s="18">
        <f t="shared" si="0"/>
        <v>-404.71000000000004</v>
      </c>
      <c r="H6" s="19">
        <f t="shared" si="0"/>
        <v>1952.1999999999971</v>
      </c>
      <c r="I6" s="9"/>
      <c r="J6" s="19">
        <f>I6+июнь!J6</f>
        <v>0</v>
      </c>
      <c r="K6" s="8"/>
      <c r="L6" s="18">
        <f>K6+июнь!L6</f>
        <v>0</v>
      </c>
    </row>
    <row r="7" spans="1:13">
      <c r="A7" s="1">
        <f t="shared" si="1"/>
        <v>5</v>
      </c>
      <c r="B7" s="34" t="str">
        <f>июнь!B7</f>
        <v>Сод.и ремонт лифтов</v>
      </c>
      <c r="C7" s="8">
        <v>18726.05</v>
      </c>
      <c r="D7" s="18">
        <f>C7+июнь!D7</f>
        <v>68480.56</v>
      </c>
      <c r="E7" s="9">
        <v>16510.78</v>
      </c>
      <c r="F7" s="18">
        <f>E7+июнь!F7</f>
        <v>152710.29999999999</v>
      </c>
      <c r="G7" s="18">
        <f t="shared" si="0"/>
        <v>-2215.2700000000004</v>
      </c>
      <c r="H7" s="19">
        <f t="shared" si="0"/>
        <v>84229.739999999991</v>
      </c>
      <c r="I7" s="9"/>
      <c r="J7" s="19">
        <f>I7+июнь!J7</f>
        <v>0</v>
      </c>
      <c r="K7" s="8"/>
      <c r="L7" s="18">
        <f>K7+июнь!L7</f>
        <v>0</v>
      </c>
    </row>
    <row r="8" spans="1:13">
      <c r="A8" s="1">
        <f t="shared" si="1"/>
        <v>6</v>
      </c>
      <c r="B8" s="34" t="str">
        <f>июнь!B8</f>
        <v>Очистка мусоропроводов</v>
      </c>
      <c r="C8" s="8">
        <v>8791.91</v>
      </c>
      <c r="D8" s="18">
        <f>C8+июнь!D8</f>
        <v>49299.380000000005</v>
      </c>
      <c r="E8" s="9">
        <v>7488.54</v>
      </c>
      <c r="F8" s="18">
        <f>E8+июнь!F8</f>
        <v>55569.560000000005</v>
      </c>
      <c r="G8" s="18">
        <f t="shared" si="0"/>
        <v>-1303.3699999999999</v>
      </c>
      <c r="H8" s="19">
        <f t="shared" si="0"/>
        <v>6270.18</v>
      </c>
      <c r="I8" s="9"/>
      <c r="J8" s="19">
        <f>I8+июнь!J8</f>
        <v>0</v>
      </c>
      <c r="K8" s="8"/>
      <c r="L8" s="18">
        <f>K8+июнь!L8</f>
        <v>0</v>
      </c>
    </row>
    <row r="9" spans="1:13" ht="15.75" customHeight="1">
      <c r="A9" s="1">
        <f t="shared" si="1"/>
        <v>7</v>
      </c>
      <c r="B9" s="34" t="str">
        <f>июнь!B9</f>
        <v>Уборка и сан.очистка зем.уч.</v>
      </c>
      <c r="C9" s="8">
        <v>11742.08</v>
      </c>
      <c r="D9" s="18">
        <f>C9+июнь!D9</f>
        <v>58724.37</v>
      </c>
      <c r="E9" s="9">
        <v>9384.9699999999993</v>
      </c>
      <c r="F9" s="18">
        <f>E9+июнь!F9</f>
        <v>64419.990000000005</v>
      </c>
      <c r="G9" s="18">
        <f t="shared" si="0"/>
        <v>-2357.1100000000006</v>
      </c>
      <c r="H9" s="19">
        <f t="shared" si="0"/>
        <v>5695.6200000000026</v>
      </c>
      <c r="I9" s="9"/>
      <c r="J9" s="19">
        <f>I9+июнь!J9</f>
        <v>0</v>
      </c>
      <c r="K9" s="8"/>
      <c r="L9" s="18">
        <f>K9+июнь!L9</f>
        <v>0</v>
      </c>
    </row>
    <row r="10" spans="1:13">
      <c r="A10" s="1">
        <f t="shared" si="1"/>
        <v>8</v>
      </c>
      <c r="B10" s="34" t="str">
        <f>июнь!B10</f>
        <v>Холодная вода</v>
      </c>
      <c r="C10" s="8">
        <v>62213.08</v>
      </c>
      <c r="D10" s="18">
        <f>C10+июнь!D10</f>
        <v>340475.63</v>
      </c>
      <c r="E10" s="9">
        <v>51083.73</v>
      </c>
      <c r="F10" s="18">
        <f>E10+июнь!F10</f>
        <v>371467.94999999995</v>
      </c>
      <c r="G10" s="18">
        <f t="shared" si="0"/>
        <v>-11129.349999999999</v>
      </c>
      <c r="H10" s="19">
        <f t="shared" si="0"/>
        <v>30992.319999999949</v>
      </c>
      <c r="I10" s="9"/>
      <c r="J10" s="19">
        <f>I10+июнь!J10</f>
        <v>0</v>
      </c>
      <c r="K10" s="8"/>
      <c r="L10" s="18">
        <f>K10+июнь!L10</f>
        <v>0</v>
      </c>
    </row>
    <row r="11" spans="1:13">
      <c r="A11" s="1">
        <f t="shared" si="1"/>
        <v>9</v>
      </c>
      <c r="B11" s="42" t="str">
        <f>июнь!B11</f>
        <v>Канализир.х.воды</v>
      </c>
      <c r="C11" s="8">
        <v>0</v>
      </c>
      <c r="D11" s="18">
        <f>C11+июнь!D11</f>
        <v>0</v>
      </c>
      <c r="E11" s="9">
        <f>11.9+4.53</f>
        <v>16.43</v>
      </c>
      <c r="F11" s="18">
        <f>E11+июнь!F11</f>
        <v>22.719999999999992</v>
      </c>
      <c r="G11" s="18">
        <f t="shared" si="0"/>
        <v>16.43</v>
      </c>
      <c r="H11" s="19">
        <f t="shared" si="0"/>
        <v>22.719999999999992</v>
      </c>
      <c r="I11" s="9"/>
      <c r="J11" s="19">
        <f>I11+июнь!J11</f>
        <v>0</v>
      </c>
      <c r="K11" s="8"/>
      <c r="L11" s="18">
        <f>K11+июнь!L11</f>
        <v>0</v>
      </c>
    </row>
    <row r="12" spans="1:13">
      <c r="A12" s="1">
        <f t="shared" si="1"/>
        <v>10</v>
      </c>
      <c r="B12" s="34" t="str">
        <f>июнь!B12</f>
        <v>Канализир.г.воды</v>
      </c>
      <c r="C12" s="8">
        <v>0</v>
      </c>
      <c r="D12" s="18">
        <f>C12+июнь!D12</f>
        <v>0</v>
      </c>
      <c r="E12" s="9">
        <v>8.11</v>
      </c>
      <c r="F12" s="18">
        <f>E12+июнь!F12</f>
        <v>73.459999999999994</v>
      </c>
      <c r="G12" s="18">
        <f t="shared" si="0"/>
        <v>8.11</v>
      </c>
      <c r="H12" s="19">
        <f t="shared" si="0"/>
        <v>73.459999999999994</v>
      </c>
      <c r="I12" s="9"/>
      <c r="J12" s="19">
        <f>I12+июнь!J12</f>
        <v>0</v>
      </c>
      <c r="K12" s="8"/>
      <c r="L12" s="18">
        <f>K12+июнь!L12</f>
        <v>0</v>
      </c>
    </row>
    <row r="13" spans="1:13">
      <c r="A13" s="1">
        <f t="shared" si="1"/>
        <v>11</v>
      </c>
      <c r="B13" s="34" t="str">
        <f>июнь!B13</f>
        <v>Тек.рем.общ.имущ.дома</v>
      </c>
      <c r="C13" s="8">
        <v>39845.79</v>
      </c>
      <c r="D13" s="18">
        <f>C13+июнь!D13</f>
        <v>220344.85</v>
      </c>
      <c r="E13" s="9">
        <v>33248.519999999997</v>
      </c>
      <c r="F13" s="18">
        <f>E13+июнь!F13</f>
        <v>248049.53</v>
      </c>
      <c r="G13" s="18">
        <f t="shared" si="0"/>
        <v>-6597.2700000000041</v>
      </c>
      <c r="H13" s="19">
        <f t="shared" si="0"/>
        <v>27704.679999999993</v>
      </c>
      <c r="I13" s="9"/>
      <c r="J13" s="19">
        <f>I13+июнь!J13</f>
        <v>0</v>
      </c>
      <c r="K13" s="8"/>
      <c r="L13" s="18">
        <f>K13+июнь!L13</f>
        <v>0</v>
      </c>
    </row>
    <row r="14" spans="1:13" ht="14.25" customHeight="1">
      <c r="A14" s="1">
        <f t="shared" si="1"/>
        <v>12</v>
      </c>
      <c r="B14" s="34" t="str">
        <f>июнь!B14</f>
        <v>Управление многокв.домом</v>
      </c>
      <c r="C14" s="8">
        <v>16490.189999999999</v>
      </c>
      <c r="D14" s="18">
        <f>C14+июнь!D14</f>
        <v>87238</v>
      </c>
      <c r="E14" s="9">
        <v>13272.95</v>
      </c>
      <c r="F14" s="18">
        <f>E14+июнь!F14</f>
        <v>94708.98</v>
      </c>
      <c r="G14" s="18">
        <f t="shared" si="0"/>
        <v>-3217.239999999998</v>
      </c>
      <c r="H14" s="19">
        <f t="shared" si="0"/>
        <v>7470.9799999999959</v>
      </c>
      <c r="I14" s="9"/>
      <c r="J14" s="19">
        <f>I14+июнь!J14</f>
        <v>0</v>
      </c>
      <c r="K14" s="8"/>
      <c r="L14" s="18">
        <f>K14+июнь!L14</f>
        <v>0</v>
      </c>
    </row>
    <row r="15" spans="1:13">
      <c r="A15" s="1">
        <f t="shared" si="1"/>
        <v>13</v>
      </c>
      <c r="B15" s="34" t="str">
        <f>июнь!B15</f>
        <v>Водоотведение(кв)</v>
      </c>
      <c r="C15" s="8">
        <v>106279.98</v>
      </c>
      <c r="D15" s="18">
        <f>C15+июнь!D15</f>
        <v>583666.32000000007</v>
      </c>
      <c r="E15" s="9">
        <v>87606.05</v>
      </c>
      <c r="F15" s="18">
        <f>E15+июнь!F15</f>
        <v>640934.37</v>
      </c>
      <c r="G15" s="18">
        <f t="shared" si="0"/>
        <v>-18673.929999999993</v>
      </c>
      <c r="H15" s="19">
        <f t="shared" si="0"/>
        <v>57268.04999999993</v>
      </c>
      <c r="I15" s="9"/>
      <c r="J15" s="19">
        <f>I15+июнь!J15</f>
        <v>0</v>
      </c>
      <c r="K15" s="8"/>
      <c r="L15" s="18">
        <f>K15+июнь!L15</f>
        <v>0</v>
      </c>
    </row>
    <row r="16" spans="1:13" ht="15" customHeight="1">
      <c r="A16" s="1">
        <f t="shared" si="1"/>
        <v>14</v>
      </c>
      <c r="B16" s="34" t="str">
        <f>июнь!B16</f>
        <v>Электроснабж.на общед.нужды</v>
      </c>
      <c r="C16" s="8">
        <v>6463.39</v>
      </c>
      <c r="D16" s="18">
        <f>C16+июнь!D16</f>
        <v>38120.51</v>
      </c>
      <c r="E16" s="9">
        <v>5393.77</v>
      </c>
      <c r="F16" s="18">
        <f>E16+июнь!F16</f>
        <v>43598.350000000006</v>
      </c>
      <c r="G16" s="18">
        <f t="shared" si="0"/>
        <v>-1069.6199999999999</v>
      </c>
      <c r="H16" s="19">
        <f t="shared" si="0"/>
        <v>5477.8400000000038</v>
      </c>
      <c r="I16" s="9"/>
      <c r="J16" s="19">
        <f>I16+июнь!J16</f>
        <v>0</v>
      </c>
      <c r="K16" s="8"/>
      <c r="L16" s="18">
        <f>K16+июнь!L16</f>
        <v>0</v>
      </c>
    </row>
    <row r="17" spans="1:12" ht="13.5" customHeight="1">
      <c r="A17" s="1">
        <f t="shared" si="1"/>
        <v>15</v>
      </c>
      <c r="B17" s="34" t="str">
        <f>июнь!B17</f>
        <v>Эксплуатация общедом.ПУ</v>
      </c>
      <c r="C17" s="8">
        <v>4234.8900000000003</v>
      </c>
      <c r="D17" s="18">
        <f>C17+июнь!D17</f>
        <v>23399.37</v>
      </c>
      <c r="E17" s="9">
        <v>3556.15</v>
      </c>
      <c r="F17" s="18">
        <f>E17+июнь!F17</f>
        <v>26196.340000000004</v>
      </c>
      <c r="G17" s="18">
        <f t="shared" si="0"/>
        <v>-678.74000000000024</v>
      </c>
      <c r="H17" s="19">
        <f t="shared" si="0"/>
        <v>2796.9700000000048</v>
      </c>
      <c r="I17" s="9"/>
      <c r="J17" s="19">
        <f>I17+июнь!J17</f>
        <v>0</v>
      </c>
      <c r="K17" s="8"/>
      <c r="L17" s="18">
        <f>K17+июнь!L17</f>
        <v>0</v>
      </c>
    </row>
    <row r="18" spans="1:12" ht="14.25" customHeight="1">
      <c r="A18" s="1">
        <f t="shared" si="1"/>
        <v>16</v>
      </c>
      <c r="B18" s="34" t="str">
        <f>июнь!B18</f>
        <v>Водоотведение(о/д нужды)</v>
      </c>
      <c r="C18" s="8">
        <v>0</v>
      </c>
      <c r="D18" s="18">
        <f>C18+июнь!D18</f>
        <v>0</v>
      </c>
      <c r="E18" s="9">
        <v>0</v>
      </c>
      <c r="F18" s="18">
        <f>E18+июнь!F18</f>
        <v>-82.31</v>
      </c>
      <c r="G18" s="18">
        <f t="shared" si="0"/>
        <v>0</v>
      </c>
      <c r="H18" s="19">
        <f t="shared" si="0"/>
        <v>-82.31</v>
      </c>
      <c r="I18" s="9"/>
      <c r="J18" s="19">
        <f>I18+июнь!J18</f>
        <v>0</v>
      </c>
      <c r="K18" s="8"/>
      <c r="L18" s="18">
        <f>K18+июнь!L18</f>
        <v>0</v>
      </c>
    </row>
    <row r="19" spans="1:12">
      <c r="A19" s="1">
        <f t="shared" si="1"/>
        <v>17</v>
      </c>
      <c r="B19" s="34" t="str">
        <f>июнь!B19</f>
        <v>Отопление (о/д нужды)</v>
      </c>
      <c r="C19" s="8">
        <v>0</v>
      </c>
      <c r="D19" s="18">
        <f>C19+июнь!D19</f>
        <v>0</v>
      </c>
      <c r="E19" s="9">
        <v>165.19</v>
      </c>
      <c r="F19" s="18">
        <f>E19+июнь!F19</f>
        <v>354.9</v>
      </c>
      <c r="G19" s="18">
        <f t="shared" si="0"/>
        <v>165.19</v>
      </c>
      <c r="H19" s="19">
        <f t="shared" si="0"/>
        <v>354.9</v>
      </c>
      <c r="I19" s="9"/>
      <c r="J19" s="19">
        <f>I19+июнь!J19</f>
        <v>0</v>
      </c>
      <c r="K19" s="8"/>
      <c r="L19" s="18">
        <f>K19+июнь!L19</f>
        <v>0</v>
      </c>
    </row>
    <row r="20" spans="1:12" ht="15" customHeight="1">
      <c r="A20" s="1">
        <f t="shared" si="1"/>
        <v>18</v>
      </c>
      <c r="B20" s="34" t="str">
        <f>июнь!B20</f>
        <v>Гор.водоснабж.(о/д нужды)</v>
      </c>
      <c r="C20" s="8">
        <v>4809.58</v>
      </c>
      <c r="D20" s="18">
        <f>C20+июнь!D20</f>
        <v>33358.799999999996</v>
      </c>
      <c r="E20" s="9">
        <v>4529.66</v>
      </c>
      <c r="F20" s="18">
        <f>E20+июнь!F20</f>
        <v>38482.819999999992</v>
      </c>
      <c r="G20" s="18">
        <f t="shared" si="0"/>
        <v>-279.92000000000007</v>
      </c>
      <c r="H20" s="19">
        <f t="shared" si="0"/>
        <v>5124.0199999999968</v>
      </c>
      <c r="I20" s="9"/>
      <c r="J20" s="19">
        <f>I20+июнь!J20</f>
        <v>0</v>
      </c>
      <c r="K20" s="9"/>
      <c r="L20" s="18">
        <f>K20+июнь!L20</f>
        <v>0</v>
      </c>
    </row>
    <row r="21" spans="1:12" ht="14.25" customHeight="1">
      <c r="A21" s="1">
        <f t="shared" si="1"/>
        <v>19</v>
      </c>
      <c r="B21" s="34" t="str">
        <f>июнь!B21</f>
        <v>Холодн водосн о/д нужды</v>
      </c>
      <c r="C21" s="8">
        <v>2158.67</v>
      </c>
      <c r="D21" s="18">
        <f>C21+июнь!D21</f>
        <v>14473.1</v>
      </c>
      <c r="E21" s="9">
        <v>2230.59</v>
      </c>
      <c r="F21" s="18">
        <f>E21+июнь!F21</f>
        <v>17203.61</v>
      </c>
      <c r="G21" s="18">
        <f t="shared" si="0"/>
        <v>71.920000000000073</v>
      </c>
      <c r="H21" s="19">
        <f t="shared" si="0"/>
        <v>2730.51</v>
      </c>
      <c r="I21" s="9"/>
      <c r="J21" s="19">
        <f>I21+июнь!J21</f>
        <v>0</v>
      </c>
      <c r="K21" s="8"/>
      <c r="L21" s="18">
        <f>K21+июнь!L21</f>
        <v>0</v>
      </c>
    </row>
    <row r="22" spans="1:12">
      <c r="A22" s="1">
        <f t="shared" si="1"/>
        <v>20</v>
      </c>
      <c r="B22" s="34">
        <f>июнь!B22</f>
        <v>0</v>
      </c>
      <c r="C22" s="8"/>
      <c r="D22" s="18">
        <f>C22+июнь!D22</f>
        <v>1016.02</v>
      </c>
      <c r="E22" s="9"/>
      <c r="F22" s="18">
        <f>E22+июнь!F22</f>
        <v>338.67</v>
      </c>
      <c r="G22" s="18">
        <f t="shared" si="0"/>
        <v>0</v>
      </c>
      <c r="H22" s="19">
        <f t="shared" si="0"/>
        <v>-677.34999999999991</v>
      </c>
      <c r="I22" s="9"/>
      <c r="J22" s="19">
        <f>I22+июнь!J22</f>
        <v>0</v>
      </c>
      <c r="K22" s="8"/>
      <c r="L22" s="18">
        <f>K22+июнь!L22</f>
        <v>0</v>
      </c>
    </row>
    <row r="23" spans="1:12">
      <c r="A23" s="1"/>
      <c r="B23" s="20" t="s">
        <v>12</v>
      </c>
      <c r="C23" s="22">
        <f t="shared" ref="C23:L23" si="2">SUM(C3:C22)</f>
        <v>519962.33999999997</v>
      </c>
      <c r="D23" s="18">
        <f t="shared" si="2"/>
        <v>3935206.42</v>
      </c>
      <c r="E23" s="23">
        <f t="shared" si="2"/>
        <v>490517.60999999993</v>
      </c>
      <c r="F23" s="18">
        <f t="shared" si="2"/>
        <v>4766263.370000001</v>
      </c>
      <c r="G23" s="18">
        <f t="shared" si="2"/>
        <v>-29444.729999999989</v>
      </c>
      <c r="H23" s="19">
        <f t="shared" si="2"/>
        <v>831056.95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4" spans="1:12" ht="11.25" customHeight="1"/>
    <row r="25" spans="1:12" hidden="1"/>
    <row r="26" spans="1:12" hidden="1"/>
    <row r="27" spans="1:12" hidden="1"/>
    <row r="28" spans="1:12">
      <c r="B28" s="1" t="s">
        <v>36</v>
      </c>
      <c r="C28" s="9">
        <f>C10+C11+C12+C15+C18+C21</f>
        <v>170651.73</v>
      </c>
      <c r="D28" s="9">
        <f t="shared" ref="D28:J28" si="3">D10+D11+D12+D15+D18+D21</f>
        <v>938615.05</v>
      </c>
      <c r="E28" s="9">
        <f t="shared" si="3"/>
        <v>140944.91</v>
      </c>
      <c r="F28" s="9">
        <f t="shared" si="3"/>
        <v>1029619.7999999999</v>
      </c>
      <c r="G28" s="9">
        <f t="shared" si="3"/>
        <v>-29706.819999999992</v>
      </c>
      <c r="H28" s="9">
        <f t="shared" si="3"/>
        <v>91004.749999999869</v>
      </c>
      <c r="I28" s="9">
        <f t="shared" si="3"/>
        <v>0</v>
      </c>
      <c r="J28" s="9">
        <f t="shared" si="3"/>
        <v>0</v>
      </c>
    </row>
    <row r="29" spans="1:12">
      <c r="B29" s="1" t="s">
        <v>37</v>
      </c>
      <c r="C29" s="9">
        <f>C16</f>
        <v>6463.39</v>
      </c>
      <c r="D29" s="9">
        <f t="shared" ref="D29:J29" si="4">D16</f>
        <v>38120.51</v>
      </c>
      <c r="E29" s="9">
        <f t="shared" si="4"/>
        <v>5393.77</v>
      </c>
      <c r="F29" s="9">
        <f t="shared" si="4"/>
        <v>43598.350000000006</v>
      </c>
      <c r="G29" s="9">
        <f t="shared" si="4"/>
        <v>-1069.6199999999999</v>
      </c>
      <c r="H29" s="9">
        <f t="shared" si="4"/>
        <v>5477.8400000000038</v>
      </c>
      <c r="I29" s="9">
        <f t="shared" si="4"/>
        <v>0</v>
      </c>
      <c r="J29" s="9">
        <f t="shared" si="4"/>
        <v>0</v>
      </c>
    </row>
    <row r="30" spans="1:12">
      <c r="B30" s="1" t="s">
        <v>38</v>
      </c>
      <c r="C30" s="9">
        <f>C4+C5+C19+C20</f>
        <v>163837.91999999998</v>
      </c>
      <c r="D30" s="9">
        <f t="shared" ref="D30:J30" si="5">D4+D5+D19+D20</f>
        <v>2014788.66</v>
      </c>
      <c r="E30" s="9">
        <f t="shared" si="5"/>
        <v>194917.01</v>
      </c>
      <c r="F30" s="9">
        <f t="shared" si="5"/>
        <v>2571308.2999999998</v>
      </c>
      <c r="G30" s="9">
        <f t="shared" si="5"/>
        <v>31079.089999999997</v>
      </c>
      <c r="H30" s="9">
        <f t="shared" si="5"/>
        <v>556519.64000000013</v>
      </c>
      <c r="I30" s="9">
        <f t="shared" si="5"/>
        <v>0</v>
      </c>
      <c r="J30" s="9">
        <f t="shared" si="5"/>
        <v>0</v>
      </c>
    </row>
    <row r="33" spans="5:6">
      <c r="E33">
        <v>101159.21</v>
      </c>
      <c r="F33">
        <v>99385.26</v>
      </c>
    </row>
    <row r="34" spans="5:6">
      <c r="E34">
        <v>418803.13</v>
      </c>
      <c r="F34">
        <v>391132.35</v>
      </c>
    </row>
    <row r="35" spans="5:6">
      <c r="E35" s="11">
        <f>E33+E34</f>
        <v>519962.34</v>
      </c>
      <c r="F35" s="11">
        <f>F33+F34</f>
        <v>490517.61</v>
      </c>
    </row>
  </sheetData>
  <mergeCells count="1">
    <mergeCell ref="D1:F1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G42" sqref="G42"/>
    </sheetView>
  </sheetViews>
  <sheetFormatPr defaultRowHeight="12.75"/>
  <cols>
    <col min="1" max="1" width="4.28515625" customWidth="1"/>
    <col min="2" max="2" width="30.28515625" customWidth="1"/>
    <col min="3" max="3" width="10.140625" bestFit="1" customWidth="1"/>
    <col min="4" max="4" width="13" customWidth="1"/>
    <col min="5" max="5" width="10.140625" bestFit="1" customWidth="1"/>
    <col min="6" max="6" width="12.140625" customWidth="1"/>
    <col min="7" max="7" width="10.7109375" customWidth="1"/>
    <col min="8" max="8" width="11.42578125" customWidth="1"/>
    <col min="9" max="9" width="10.5703125" customWidth="1"/>
    <col min="10" max="10" width="11.7109375" customWidth="1"/>
    <col min="11" max="11" width="10.140625" bestFit="1" customWidth="1"/>
    <col min="12" max="12" width="11.85546875" customWidth="1"/>
    <col min="13" max="13" width="10.140625" bestFit="1" customWidth="1"/>
  </cols>
  <sheetData>
    <row r="1" spans="1:13">
      <c r="E1" s="11" t="s">
        <v>40</v>
      </c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tr">
        <f>июль!B3</f>
        <v>Содержание общ.имущ.дома</v>
      </c>
      <c r="C3" s="8">
        <f>62963.62+13391.56</f>
        <v>76355.180000000008</v>
      </c>
      <c r="D3" s="18">
        <f>C3+июль!D3</f>
        <v>495111.39</v>
      </c>
      <c r="E3" s="9">
        <f>10416.56+56150.28</f>
        <v>66566.84</v>
      </c>
      <c r="F3" s="18">
        <f>E3+июль!F3</f>
        <v>527934.75</v>
      </c>
      <c r="G3" s="18">
        <f>E3-C3</f>
        <v>-9788.3400000000111</v>
      </c>
      <c r="H3" s="19">
        <f>F3-D3</f>
        <v>32823.359999999986</v>
      </c>
      <c r="I3" s="9"/>
      <c r="J3" s="19">
        <f>I3+июль!J3</f>
        <v>0</v>
      </c>
      <c r="K3" s="8"/>
      <c r="L3" s="18">
        <f>K3+июль!L3</f>
        <v>0</v>
      </c>
    </row>
    <row r="4" spans="1:13">
      <c r="A4" s="1">
        <f>A3+1</f>
        <v>2</v>
      </c>
      <c r="B4" s="34" t="str">
        <f>июль!B4</f>
        <v>Отопление</v>
      </c>
      <c r="C4" s="8">
        <f>0+0</f>
        <v>0</v>
      </c>
      <c r="D4" s="18">
        <f>C4+июль!D4</f>
        <v>1059198.02</v>
      </c>
      <c r="E4" s="9">
        <f>36046.98+2591.18</f>
        <v>38638.160000000003</v>
      </c>
      <c r="F4" s="18">
        <f>E4+июль!F4</f>
        <v>1549926.78</v>
      </c>
      <c r="G4" s="18">
        <f t="shared" ref="G4:H22" si="0">E4-C4</f>
        <v>38638.160000000003</v>
      </c>
      <c r="H4" s="19">
        <f t="shared" si="0"/>
        <v>490728.76</v>
      </c>
      <c r="I4" s="9"/>
      <c r="J4" s="19">
        <f>I4+июль!J4</f>
        <v>0</v>
      </c>
      <c r="K4" s="8"/>
      <c r="L4" s="18">
        <f>K4+июль!L4</f>
        <v>0</v>
      </c>
      <c r="M4" s="24">
        <f>L4-J4</f>
        <v>0</v>
      </c>
    </row>
    <row r="5" spans="1:13">
      <c r="A5" s="1">
        <f t="shared" ref="A5:A22" si="1">A4+1</f>
        <v>3</v>
      </c>
      <c r="B5" s="42" t="str">
        <f>июль!B5</f>
        <v>Горячее водоснабжение</v>
      </c>
      <c r="C5" s="8">
        <f>30088.17+129400.76+525.76</f>
        <v>160014.69</v>
      </c>
      <c r="D5" s="18">
        <f>C5+июль!D5</f>
        <v>1082246.53</v>
      </c>
      <c r="E5" s="9">
        <f>114730.38+24003.49+1520.39</f>
        <v>140254.26</v>
      </c>
      <c r="F5" s="18">
        <f>E5+июль!F5</f>
        <v>1161436.22</v>
      </c>
      <c r="G5" s="18">
        <f t="shared" si="0"/>
        <v>-19760.429999999993</v>
      </c>
      <c r="H5" s="19">
        <f t="shared" si="0"/>
        <v>79189.689999999944</v>
      </c>
      <c r="I5" s="9"/>
      <c r="J5" s="19">
        <f>I5+июль!J5</f>
        <v>0</v>
      </c>
      <c r="K5" s="8"/>
      <c r="L5" s="18">
        <f>K5+июль!L5</f>
        <v>0</v>
      </c>
    </row>
    <row r="6" spans="1:13">
      <c r="A6" s="1">
        <f t="shared" si="1"/>
        <v>4</v>
      </c>
      <c r="B6" s="34" t="str">
        <f>июль!B6</f>
        <v>Сод.и ремонт АППЗ</v>
      </c>
      <c r="C6" s="8">
        <f>2328.03+495.18</f>
        <v>2823.21</v>
      </c>
      <c r="D6" s="18">
        <f>C6+июль!D6</f>
        <v>19246.650000000001</v>
      </c>
      <c r="E6" s="9">
        <f>387.91+2118.36</f>
        <v>2506.27</v>
      </c>
      <c r="F6" s="18">
        <f>E6+июль!F6</f>
        <v>20881.91</v>
      </c>
      <c r="G6" s="18">
        <f t="shared" si="0"/>
        <v>-316.94000000000005</v>
      </c>
      <c r="H6" s="19">
        <f t="shared" si="0"/>
        <v>1635.2599999999984</v>
      </c>
      <c r="I6" s="9"/>
      <c r="J6" s="19">
        <f>I6+июль!J6</f>
        <v>0</v>
      </c>
      <c r="K6" s="8"/>
      <c r="L6" s="18">
        <f>K6+июль!L6</f>
        <v>0</v>
      </c>
    </row>
    <row r="7" spans="1:13">
      <c r="A7" s="1">
        <f t="shared" si="1"/>
        <v>5</v>
      </c>
      <c r="B7" s="34" t="str">
        <f>июль!B7</f>
        <v>Сод.и ремонт лифтов</v>
      </c>
      <c r="C7" s="8">
        <f>15406.29+3319.76</f>
        <v>18726.050000000003</v>
      </c>
      <c r="D7" s="18">
        <f>C7+июль!D7</f>
        <v>87206.61</v>
      </c>
      <c r="E7" s="9">
        <f>2654.96+14242.21</f>
        <v>16897.169999999998</v>
      </c>
      <c r="F7" s="18">
        <f>E7+июль!F7</f>
        <v>169607.46999999997</v>
      </c>
      <c r="G7" s="18">
        <f t="shared" si="0"/>
        <v>-1828.8800000000047</v>
      </c>
      <c r="H7" s="19">
        <f t="shared" si="0"/>
        <v>82400.859999999971</v>
      </c>
      <c r="I7" s="9"/>
      <c r="J7" s="19">
        <f>I7+июль!J7</f>
        <v>0</v>
      </c>
      <c r="K7" s="8"/>
      <c r="L7" s="18">
        <f>K7+июль!L7</f>
        <v>0</v>
      </c>
    </row>
    <row r="8" spans="1:13" ht="12.75" customHeight="1">
      <c r="A8" s="1">
        <f t="shared" si="1"/>
        <v>6</v>
      </c>
      <c r="B8" s="34" t="str">
        <f>июль!B8</f>
        <v>Очистка мусоропроводов</v>
      </c>
      <c r="C8" s="8">
        <f>7193.94+1597.97</f>
        <v>8791.91</v>
      </c>
      <c r="D8" s="18">
        <f>C8+июль!D8</f>
        <v>58091.290000000008</v>
      </c>
      <c r="E8" s="9">
        <f>1248.65+6593.27</f>
        <v>7841.92</v>
      </c>
      <c r="F8" s="18">
        <f>E8+июль!F8</f>
        <v>63411.48</v>
      </c>
      <c r="G8" s="18">
        <f t="shared" si="0"/>
        <v>-949.98999999999978</v>
      </c>
      <c r="H8" s="19">
        <f t="shared" si="0"/>
        <v>5320.1899999999951</v>
      </c>
      <c r="I8" s="9"/>
      <c r="J8" s="19">
        <f>I8+июль!J8</f>
        <v>0</v>
      </c>
      <c r="K8" s="8"/>
      <c r="L8" s="18">
        <f>K8+июль!L8</f>
        <v>0</v>
      </c>
    </row>
    <row r="9" spans="1:13" ht="14.25" customHeight="1">
      <c r="A9" s="1">
        <f t="shared" si="1"/>
        <v>7</v>
      </c>
      <c r="B9" s="34" t="str">
        <f>июль!B9</f>
        <v>Уборка и сан.очистка зем.уч.</v>
      </c>
      <c r="C9" s="8">
        <f>9682.68+2059.4</f>
        <v>11742.08</v>
      </c>
      <c r="D9" s="18">
        <f>C9+июль!D9</f>
        <v>70466.45</v>
      </c>
      <c r="E9" s="9">
        <f>1589.62+8473.74</f>
        <v>10063.36</v>
      </c>
      <c r="F9" s="18">
        <f>E9+июль!F9</f>
        <v>74483.350000000006</v>
      </c>
      <c r="G9" s="18">
        <f t="shared" si="0"/>
        <v>-1678.7199999999993</v>
      </c>
      <c r="H9" s="19">
        <f t="shared" si="0"/>
        <v>4016.9000000000087</v>
      </c>
      <c r="I9" s="9"/>
      <c r="J9" s="19">
        <f>I9+июль!J9</f>
        <v>0</v>
      </c>
      <c r="K9" s="8"/>
      <c r="L9" s="18">
        <f>K9+июль!L9</f>
        <v>0</v>
      </c>
    </row>
    <row r="10" spans="1:13">
      <c r="A10" s="1">
        <f t="shared" si="1"/>
        <v>8</v>
      </c>
      <c r="B10" s="34" t="str">
        <f>июль!B10</f>
        <v>Холодная вода</v>
      </c>
      <c r="C10" s="8">
        <f>50586.85+11867.12</f>
        <v>62453.97</v>
      </c>
      <c r="D10" s="18">
        <f>C10+июль!D10</f>
        <v>402929.6</v>
      </c>
      <c r="E10" s="9">
        <f>9367.53+44157.5</f>
        <v>53525.03</v>
      </c>
      <c r="F10" s="18">
        <f>E10+июль!F10</f>
        <v>424992.98</v>
      </c>
      <c r="G10" s="18">
        <f t="shared" si="0"/>
        <v>-8928.9400000000023</v>
      </c>
      <c r="H10" s="19">
        <f t="shared" si="0"/>
        <v>22063.380000000005</v>
      </c>
      <c r="I10" s="9"/>
      <c r="J10" s="19">
        <f>I10+июль!J10</f>
        <v>0</v>
      </c>
      <c r="K10" s="8"/>
      <c r="L10" s="18">
        <f>K10+июль!L10</f>
        <v>0</v>
      </c>
    </row>
    <row r="11" spans="1:13">
      <c r="A11" s="1">
        <f t="shared" si="1"/>
        <v>9</v>
      </c>
      <c r="B11" s="42" t="str">
        <f>июль!B11</f>
        <v>Канализир.х.воды</v>
      </c>
      <c r="C11" s="8">
        <f>0+0</f>
        <v>0</v>
      </c>
      <c r="D11" s="18">
        <f>C11+июль!D11</f>
        <v>0</v>
      </c>
      <c r="E11" s="9">
        <f>0+-222.17</f>
        <v>-222.17</v>
      </c>
      <c r="F11" s="18">
        <f>E11+июль!F11</f>
        <v>-199.45</v>
      </c>
      <c r="G11" s="18">
        <f t="shared" si="0"/>
        <v>-222.17</v>
      </c>
      <c r="H11" s="19">
        <f t="shared" si="0"/>
        <v>-199.45</v>
      </c>
      <c r="I11" s="9"/>
      <c r="J11" s="19">
        <f>I11+июль!J11</f>
        <v>0</v>
      </c>
      <c r="K11" s="8"/>
      <c r="L11" s="18">
        <f>K11+июль!L11</f>
        <v>0</v>
      </c>
    </row>
    <row r="12" spans="1:13">
      <c r="A12" s="1">
        <f t="shared" si="1"/>
        <v>10</v>
      </c>
      <c r="B12" s="34" t="str">
        <f>июль!B12</f>
        <v>Канализир.г.воды</v>
      </c>
      <c r="C12" s="8">
        <f>0+0</f>
        <v>0</v>
      </c>
      <c r="D12" s="18">
        <f>C12+июль!D12</f>
        <v>0</v>
      </c>
      <c r="E12" s="9">
        <f>0+0</f>
        <v>0</v>
      </c>
      <c r="F12" s="18">
        <f>E12+июль!F12</f>
        <v>73.459999999999994</v>
      </c>
      <c r="G12" s="18">
        <f t="shared" si="0"/>
        <v>0</v>
      </c>
      <c r="H12" s="19">
        <f t="shared" si="0"/>
        <v>73.459999999999994</v>
      </c>
      <c r="I12" s="9"/>
      <c r="J12" s="19">
        <f>I12+июль!J12</f>
        <v>0</v>
      </c>
      <c r="K12" s="8"/>
      <c r="L12" s="18">
        <f>K12+июль!L12</f>
        <v>0</v>
      </c>
    </row>
    <row r="13" spans="1:13">
      <c r="A13" s="1">
        <f t="shared" si="1"/>
        <v>11</v>
      </c>
      <c r="B13" s="34" t="str">
        <f>июль!B13</f>
        <v>Тек.рем.общ.имущ.дома</v>
      </c>
      <c r="C13" s="8">
        <f>32857.42+6988.37</f>
        <v>39845.79</v>
      </c>
      <c r="D13" s="18">
        <f>C13+июль!D13</f>
        <v>260190.64</v>
      </c>
      <c r="E13" s="9">
        <f>5447.76+29490.52</f>
        <v>34938.28</v>
      </c>
      <c r="F13" s="18">
        <f>E13+июль!F13</f>
        <v>282987.81</v>
      </c>
      <c r="G13" s="18">
        <f t="shared" si="0"/>
        <v>-4907.510000000002</v>
      </c>
      <c r="H13" s="19">
        <f t="shared" si="0"/>
        <v>22797.169999999984</v>
      </c>
      <c r="I13" s="9"/>
      <c r="J13" s="19">
        <f>I13+июль!J13</f>
        <v>0</v>
      </c>
      <c r="K13" s="8"/>
      <c r="L13" s="18">
        <f>K13+июль!L13</f>
        <v>0</v>
      </c>
    </row>
    <row r="14" spans="1:13" ht="13.5" customHeight="1">
      <c r="A14" s="1">
        <f t="shared" si="1"/>
        <v>12</v>
      </c>
      <c r="B14" s="34" t="str">
        <f>июль!B14</f>
        <v>Управление многокв.домом</v>
      </c>
      <c r="C14" s="8">
        <f>13598.03+2892.16</f>
        <v>16490.190000000002</v>
      </c>
      <c r="D14" s="18">
        <f>C14+июль!D14</f>
        <v>103728.19</v>
      </c>
      <c r="E14" s="9">
        <f>11823.03+2250.54</f>
        <v>14073.57</v>
      </c>
      <c r="F14" s="18">
        <f>E14+июль!F14</f>
        <v>108782.54999999999</v>
      </c>
      <c r="G14" s="18">
        <f t="shared" si="0"/>
        <v>-2416.6200000000026</v>
      </c>
      <c r="H14" s="19">
        <f t="shared" si="0"/>
        <v>5054.359999999986</v>
      </c>
      <c r="I14" s="9"/>
      <c r="J14" s="19">
        <f>I14+июль!J14</f>
        <v>0</v>
      </c>
      <c r="K14" s="8"/>
      <c r="L14" s="18">
        <f>K14+июль!L14</f>
        <v>0</v>
      </c>
    </row>
    <row r="15" spans="1:13">
      <c r="A15" s="1">
        <f t="shared" si="1"/>
        <v>13</v>
      </c>
      <c r="B15" s="34" t="str">
        <f>июль!B15</f>
        <v>Водоотведение(кв)</v>
      </c>
      <c r="C15" s="8">
        <f>20228.68+86535.82</f>
        <v>106764.5</v>
      </c>
      <c r="D15" s="18">
        <f>C15+июль!D15</f>
        <v>690430.82000000007</v>
      </c>
      <c r="E15" s="9">
        <f>75640.59+16143.63</f>
        <v>91784.22</v>
      </c>
      <c r="F15" s="18">
        <f>E15+июль!F15</f>
        <v>732718.59</v>
      </c>
      <c r="G15" s="18">
        <f t="shared" si="0"/>
        <v>-14980.279999999999</v>
      </c>
      <c r="H15" s="19">
        <f t="shared" si="0"/>
        <v>42287.769999999902</v>
      </c>
      <c r="I15" s="9"/>
      <c r="J15" s="19">
        <f>I15+июль!J15</f>
        <v>0</v>
      </c>
      <c r="K15" s="8"/>
      <c r="L15" s="18">
        <f>K15+июль!L15</f>
        <v>0</v>
      </c>
    </row>
    <row r="16" spans="1:13" ht="15" customHeight="1">
      <c r="A16" s="1">
        <f t="shared" si="1"/>
        <v>14</v>
      </c>
      <c r="B16" s="34" t="str">
        <f>июль!B16</f>
        <v>Электроснабж.на общед.нужды</v>
      </c>
      <c r="C16" s="8">
        <f>1090.04+5125.29</f>
        <v>6215.33</v>
      </c>
      <c r="D16" s="18">
        <f>C16+июль!D16</f>
        <v>44335.840000000004</v>
      </c>
      <c r="E16" s="9">
        <f>4727.29+853.16</f>
        <v>5580.45</v>
      </c>
      <c r="F16" s="18">
        <f>E16+июль!F16</f>
        <v>49178.8</v>
      </c>
      <c r="G16" s="18">
        <f t="shared" si="0"/>
        <v>-634.88000000000011</v>
      </c>
      <c r="H16" s="19">
        <f t="shared" si="0"/>
        <v>4842.9599999999991</v>
      </c>
      <c r="I16" s="9"/>
      <c r="J16" s="19">
        <f>I16+июль!J16</f>
        <v>0</v>
      </c>
      <c r="K16" s="8"/>
      <c r="L16" s="18">
        <f>K16+июль!L16</f>
        <v>0</v>
      </c>
    </row>
    <row r="17" spans="1:12" ht="15" customHeight="1">
      <c r="A17" s="1">
        <f t="shared" si="1"/>
        <v>15</v>
      </c>
      <c r="B17" s="34" t="str">
        <f>июль!B17</f>
        <v>Эксплуатация общедом.ПУ</v>
      </c>
      <c r="C17" s="8">
        <f>742.71+3492.18</f>
        <v>4234.8899999999994</v>
      </c>
      <c r="D17" s="18">
        <f>C17+июль!D17</f>
        <v>27634.26</v>
      </c>
      <c r="E17" s="9">
        <f>3139.79+576.47</f>
        <v>3716.26</v>
      </c>
      <c r="F17" s="18">
        <f>E17+июль!F17</f>
        <v>29912.600000000006</v>
      </c>
      <c r="G17" s="18">
        <f t="shared" si="0"/>
        <v>-518.6299999999992</v>
      </c>
      <c r="H17" s="19">
        <f t="shared" si="0"/>
        <v>2278.3400000000074</v>
      </c>
      <c r="I17" s="9"/>
      <c r="J17" s="19">
        <f>I17+июль!J17</f>
        <v>0</v>
      </c>
      <c r="K17" s="8"/>
      <c r="L17" s="18">
        <f>K17+июль!L17</f>
        <v>0</v>
      </c>
    </row>
    <row r="18" spans="1:12" ht="15.75" customHeight="1">
      <c r="A18" s="1">
        <f t="shared" si="1"/>
        <v>16</v>
      </c>
      <c r="B18" s="34" t="str">
        <f>июль!B18</f>
        <v>Водоотведение(о/д нужды)</v>
      </c>
      <c r="C18" s="8">
        <f>0+0</f>
        <v>0</v>
      </c>
      <c r="D18" s="18">
        <f>C18+июль!D18</f>
        <v>0</v>
      </c>
      <c r="E18" s="9">
        <f>0+0</f>
        <v>0</v>
      </c>
      <c r="F18" s="18">
        <f>E18+июль!F18</f>
        <v>-82.31</v>
      </c>
      <c r="G18" s="18">
        <f t="shared" si="0"/>
        <v>0</v>
      </c>
      <c r="H18" s="19">
        <f t="shared" si="0"/>
        <v>-82.31</v>
      </c>
      <c r="I18" s="9"/>
      <c r="J18" s="19">
        <f>I18+июль!J18</f>
        <v>0</v>
      </c>
      <c r="K18" s="8"/>
      <c r="L18" s="18">
        <f>K18+июль!L18</f>
        <v>0</v>
      </c>
    </row>
    <row r="19" spans="1:12">
      <c r="A19" s="1">
        <f t="shared" si="1"/>
        <v>17</v>
      </c>
      <c r="B19" s="34" t="str">
        <f>июль!B19</f>
        <v>Отопление (о/д нужды)</v>
      </c>
      <c r="C19" s="8">
        <f>0+0</f>
        <v>0</v>
      </c>
      <c r="D19" s="18">
        <f>C19+июль!D19</f>
        <v>0</v>
      </c>
      <c r="E19" s="9">
        <f>0+-37.98</f>
        <v>-37.979999999999997</v>
      </c>
      <c r="F19" s="18">
        <f>E19+июль!F19</f>
        <v>316.91999999999996</v>
      </c>
      <c r="G19" s="18">
        <f t="shared" si="0"/>
        <v>-37.979999999999997</v>
      </c>
      <c r="H19" s="19">
        <f t="shared" si="0"/>
        <v>316.91999999999996</v>
      </c>
      <c r="I19" s="9"/>
      <c r="J19" s="19">
        <f>I19+июль!J19</f>
        <v>0</v>
      </c>
      <c r="K19" s="8"/>
      <c r="L19" s="18">
        <f>K19+июль!L19</f>
        <v>0</v>
      </c>
    </row>
    <row r="20" spans="1:12" ht="15.75" customHeight="1">
      <c r="A20" s="1">
        <f t="shared" si="1"/>
        <v>18</v>
      </c>
      <c r="B20" s="34" t="str">
        <f>июль!B20</f>
        <v>Гор.водоснабж.(о/д нужды)</v>
      </c>
      <c r="C20" s="8">
        <f>3967.53+842.05</f>
        <v>4809.58</v>
      </c>
      <c r="D20" s="18">
        <f>C20+июль!D20</f>
        <v>38168.379999999997</v>
      </c>
      <c r="E20" s="9">
        <f>344.42+3745.69</f>
        <v>4090.11</v>
      </c>
      <c r="F20" s="18">
        <f>E20+июль!F20</f>
        <v>42572.929999999993</v>
      </c>
      <c r="G20" s="18">
        <f t="shared" si="0"/>
        <v>-719.4699999999998</v>
      </c>
      <c r="H20" s="19">
        <f t="shared" si="0"/>
        <v>4404.5499999999956</v>
      </c>
      <c r="I20" s="9"/>
      <c r="J20" s="19">
        <f>I20+июль!J20</f>
        <v>0</v>
      </c>
      <c r="K20" s="8"/>
      <c r="L20" s="18">
        <f>K20+июль!L20</f>
        <v>0</v>
      </c>
    </row>
    <row r="21" spans="1:12" ht="13.5" customHeight="1">
      <c r="A21" s="1">
        <f t="shared" si="1"/>
        <v>19</v>
      </c>
      <c r="B21" s="34" t="str">
        <f>июль!B21</f>
        <v>Холодн водосн о/д нужды</v>
      </c>
      <c r="C21" s="8">
        <f>1780.43+378.24</f>
        <v>2158.67</v>
      </c>
      <c r="D21" s="18">
        <f>C21+июль!D21</f>
        <v>16631.77</v>
      </c>
      <c r="E21" s="9">
        <f>304.03+1843.77</f>
        <v>2147.8000000000002</v>
      </c>
      <c r="F21" s="18">
        <f>E21+июль!F21</f>
        <v>19351.41</v>
      </c>
      <c r="G21" s="18">
        <f t="shared" si="0"/>
        <v>-10.869999999999891</v>
      </c>
      <c r="H21" s="19">
        <f t="shared" si="0"/>
        <v>2719.6399999999994</v>
      </c>
      <c r="I21" s="9"/>
      <c r="J21" s="19">
        <f>I21+июль!J21</f>
        <v>0</v>
      </c>
      <c r="K21" s="8"/>
      <c r="L21" s="18">
        <f>K21+июль!L21</f>
        <v>0</v>
      </c>
    </row>
    <row r="22" spans="1:12">
      <c r="A22" s="1">
        <f t="shared" si="1"/>
        <v>20</v>
      </c>
      <c r="B22" s="34">
        <f>июль!B22</f>
        <v>0</v>
      </c>
      <c r="C22" s="8">
        <f>0+0</f>
        <v>0</v>
      </c>
      <c r="D22" s="18">
        <f>C22+июль!D22</f>
        <v>1016.02</v>
      </c>
      <c r="E22" s="9">
        <f>0+0</f>
        <v>0</v>
      </c>
      <c r="F22" s="18">
        <f>E22+июль!F22</f>
        <v>338.67</v>
      </c>
      <c r="G22" s="18">
        <f t="shared" si="0"/>
        <v>0</v>
      </c>
      <c r="H22" s="19">
        <f t="shared" si="0"/>
        <v>-677.34999999999991</v>
      </c>
      <c r="I22" s="9"/>
      <c r="J22" s="19">
        <f>I22+июль!J22</f>
        <v>0</v>
      </c>
      <c r="K22" s="8"/>
      <c r="L22" s="18">
        <f>K22+июль!L22</f>
        <v>0</v>
      </c>
    </row>
    <row r="23" spans="1:12">
      <c r="A23" s="21"/>
      <c r="B23" s="20" t="s">
        <v>12</v>
      </c>
      <c r="C23" s="22">
        <f t="shared" ref="C23:L23" si="2">SUM(C3:C22)</f>
        <v>521426.04</v>
      </c>
      <c r="D23" s="18">
        <f t="shared" si="2"/>
        <v>4456632.459999999</v>
      </c>
      <c r="E23" s="23">
        <f t="shared" si="2"/>
        <v>492363.55000000005</v>
      </c>
      <c r="F23" s="18">
        <f t="shared" si="2"/>
        <v>5258626.919999999</v>
      </c>
      <c r="G23" s="18">
        <f t="shared" si="2"/>
        <v>-29062.490000000013</v>
      </c>
      <c r="H23" s="19">
        <f t="shared" si="2"/>
        <v>801994.45999999973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5" spans="1:12" ht="2.25" customHeight="1"/>
    <row r="26" spans="1:12" hidden="1"/>
    <row r="27" spans="1:12" hidden="1"/>
    <row r="28" spans="1:12">
      <c r="B28" s="1" t="s">
        <v>36</v>
      </c>
      <c r="C28" s="9">
        <f>C10+C11+C12+C15+C18+C21</f>
        <v>171377.14</v>
      </c>
      <c r="D28" s="9">
        <f t="shared" ref="D28:J28" si="3">D10+D11+D12+D15+D18+D21</f>
        <v>1109992.19</v>
      </c>
      <c r="E28" s="9">
        <f t="shared" si="3"/>
        <v>147234.88</v>
      </c>
      <c r="F28" s="9">
        <f t="shared" si="3"/>
        <v>1176854.68</v>
      </c>
      <c r="G28" s="9">
        <f t="shared" si="3"/>
        <v>-24142.26</v>
      </c>
      <c r="H28" s="9">
        <f t="shared" si="3"/>
        <v>66862.489999999903</v>
      </c>
      <c r="I28" s="9">
        <f t="shared" si="3"/>
        <v>0</v>
      </c>
      <c r="J28" s="9">
        <f t="shared" si="3"/>
        <v>0</v>
      </c>
    </row>
    <row r="29" spans="1:12">
      <c r="B29" s="1" t="s">
        <v>37</v>
      </c>
      <c r="C29" s="9">
        <f>C16</f>
        <v>6215.33</v>
      </c>
      <c r="D29" s="9">
        <f t="shared" ref="D29:J29" si="4">D16</f>
        <v>44335.840000000004</v>
      </c>
      <c r="E29" s="9">
        <f t="shared" si="4"/>
        <v>5580.45</v>
      </c>
      <c r="F29" s="9">
        <f t="shared" si="4"/>
        <v>49178.8</v>
      </c>
      <c r="G29" s="9">
        <f t="shared" si="4"/>
        <v>-634.88000000000011</v>
      </c>
      <c r="H29" s="9">
        <f t="shared" si="4"/>
        <v>4842.9599999999991</v>
      </c>
      <c r="I29" s="9">
        <f t="shared" si="4"/>
        <v>0</v>
      </c>
      <c r="J29" s="9">
        <f t="shared" si="4"/>
        <v>0</v>
      </c>
    </row>
    <row r="30" spans="1:12">
      <c r="B30" s="1" t="s">
        <v>38</v>
      </c>
      <c r="C30" s="9">
        <f>C4+C5+C19+C20</f>
        <v>164824.26999999999</v>
      </c>
      <c r="D30" s="9">
        <f t="shared" ref="D30:J30" si="5">D4+D5+D19+D20</f>
        <v>2179612.9299999997</v>
      </c>
      <c r="E30" s="9">
        <f t="shared" si="5"/>
        <v>182944.55</v>
      </c>
      <c r="F30" s="9">
        <f t="shared" si="5"/>
        <v>2754252.85</v>
      </c>
      <c r="G30" s="9">
        <f t="shared" si="5"/>
        <v>18120.28000000001</v>
      </c>
      <c r="H30" s="9">
        <f t="shared" si="5"/>
        <v>574639.92000000004</v>
      </c>
      <c r="I30" s="9">
        <f t="shared" si="5"/>
        <v>0</v>
      </c>
      <c r="J30" s="9">
        <f t="shared" si="5"/>
        <v>0</v>
      </c>
    </row>
    <row r="34" spans="6:7">
      <c r="F34">
        <v>425444.63</v>
      </c>
      <c r="G34">
        <v>414443.79</v>
      </c>
    </row>
    <row r="35" spans="6:7">
      <c r="F35">
        <v>95981.41</v>
      </c>
      <c r="G35">
        <v>77919.759999999995</v>
      </c>
    </row>
    <row r="36" spans="6:7">
      <c r="F36" s="11">
        <f>F34+F35</f>
        <v>521426.04000000004</v>
      </c>
      <c r="G36" s="11">
        <f>G34+G35</f>
        <v>492363.55</v>
      </c>
    </row>
    <row r="37" spans="6:7">
      <c r="F37" s="11"/>
      <c r="G37" s="11"/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C11" sqref="C11"/>
    </sheetView>
  </sheetViews>
  <sheetFormatPr defaultRowHeight="12.75"/>
  <cols>
    <col min="1" max="1" width="3.42578125" customWidth="1"/>
    <col min="2" max="2" width="29.28515625" customWidth="1"/>
    <col min="3" max="3" width="10.140625" bestFit="1" customWidth="1"/>
    <col min="4" max="4" width="15.140625" customWidth="1"/>
    <col min="5" max="5" width="11.140625" customWidth="1"/>
    <col min="6" max="6" width="11" customWidth="1"/>
    <col min="7" max="7" width="11.7109375" customWidth="1"/>
    <col min="8" max="8" width="11.140625" customWidth="1"/>
    <col min="9" max="9" width="10.140625" bestFit="1" customWidth="1"/>
    <col min="10" max="10" width="11" customWidth="1"/>
    <col min="11" max="11" width="10.140625" bestFit="1" customWidth="1"/>
    <col min="12" max="12" width="11.28515625" customWidth="1"/>
    <col min="13" max="13" width="10.140625" bestFit="1" customWidth="1"/>
  </cols>
  <sheetData>
    <row r="1" spans="1:13">
      <c r="D1" s="11" t="s">
        <v>40</v>
      </c>
      <c r="E1" t="s">
        <v>41</v>
      </c>
    </row>
    <row r="2" spans="1:13" s="33" customFormat="1" ht="38.2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2" t="s">
        <v>7</v>
      </c>
      <c r="I2" s="31" t="s">
        <v>8</v>
      </c>
      <c r="J2" s="32" t="s">
        <v>9</v>
      </c>
      <c r="K2" s="28" t="s">
        <v>10</v>
      </c>
      <c r="L2" s="30" t="s">
        <v>11</v>
      </c>
    </row>
    <row r="3" spans="1:13">
      <c r="A3" s="1">
        <v>1</v>
      </c>
      <c r="B3" s="34" t="str">
        <f>август!B3</f>
        <v>Содержание общ.имущ.дома</v>
      </c>
      <c r="C3" s="8">
        <f>62963.62+13391.56</f>
        <v>76355.180000000008</v>
      </c>
      <c r="D3" s="18">
        <f>C3+август!D3</f>
        <v>571466.57000000007</v>
      </c>
      <c r="E3" s="9">
        <f>56108.78+9151.1</f>
        <v>65259.88</v>
      </c>
      <c r="F3" s="18">
        <f>E3+август!F3</f>
        <v>593194.63</v>
      </c>
      <c r="G3" s="18">
        <f>E3-C3</f>
        <v>-11095.30000000001</v>
      </c>
      <c r="H3" s="19">
        <f>F3-D3</f>
        <v>21728.059999999939</v>
      </c>
      <c r="I3" s="9"/>
      <c r="J3" s="19">
        <f>I3+август!J3</f>
        <v>0</v>
      </c>
      <c r="K3" s="8"/>
      <c r="L3" s="18">
        <f>K3+август!L3</f>
        <v>0</v>
      </c>
    </row>
    <row r="4" spans="1:13">
      <c r="A4" s="1">
        <f>A3+1</f>
        <v>2</v>
      </c>
      <c r="B4" s="34" t="str">
        <f>август!B4</f>
        <v>Отопление</v>
      </c>
      <c r="C4" s="8">
        <f>0+0</f>
        <v>0</v>
      </c>
      <c r="D4" s="18">
        <f>C4+август!D4</f>
        <v>1059198.02</v>
      </c>
      <c r="E4" s="9">
        <f>16523.55+3830.57</f>
        <v>20354.12</v>
      </c>
      <c r="F4" s="18">
        <f>E4+август!F4</f>
        <v>1570280.9000000001</v>
      </c>
      <c r="G4" s="18">
        <f t="shared" ref="G4:H22" si="0">E4-C4</f>
        <v>20354.12</v>
      </c>
      <c r="H4" s="19">
        <f t="shared" si="0"/>
        <v>511082.88000000012</v>
      </c>
      <c r="I4" s="9"/>
      <c r="J4" s="19">
        <f>I4+август!J4</f>
        <v>0</v>
      </c>
      <c r="K4" s="8"/>
      <c r="L4" s="18">
        <f>K4+август!L4</f>
        <v>0</v>
      </c>
      <c r="M4" s="24">
        <f>L4-J4</f>
        <v>0</v>
      </c>
    </row>
    <row r="5" spans="1:13">
      <c r="A5" s="1">
        <f t="shared" ref="A5:A22" si="1">A4+1</f>
        <v>3</v>
      </c>
      <c r="B5" s="34" t="str">
        <f>август!B5</f>
        <v>Горячее водоснабжение</v>
      </c>
      <c r="C5" s="8">
        <f>122898.49+30536.37+525.76</f>
        <v>153960.62000000002</v>
      </c>
      <c r="D5" s="18">
        <f>C5+август!D5</f>
        <v>1236207.1500000001</v>
      </c>
      <c r="E5" s="9">
        <f>115716.99+21718.55+595.83</f>
        <v>138031.37</v>
      </c>
      <c r="F5" s="18">
        <f>E5+август!F5</f>
        <v>1299467.5899999999</v>
      </c>
      <c r="G5" s="18">
        <f t="shared" si="0"/>
        <v>-15929.250000000029</v>
      </c>
      <c r="H5" s="19">
        <f t="shared" si="0"/>
        <v>63260.439999999711</v>
      </c>
      <c r="I5" s="9"/>
      <c r="J5" s="19">
        <f>I5+август!J5</f>
        <v>0</v>
      </c>
      <c r="K5" s="8"/>
      <c r="L5" s="18">
        <f>K5+август!L5</f>
        <v>0</v>
      </c>
    </row>
    <row r="6" spans="1:13">
      <c r="A6" s="1">
        <f t="shared" si="1"/>
        <v>4</v>
      </c>
      <c r="B6" s="34" t="str">
        <f>август!B6</f>
        <v>Сод.и ремонт АППЗ</v>
      </c>
      <c r="C6" s="8">
        <f>2328.03+495.18</f>
        <v>2823.21</v>
      </c>
      <c r="D6" s="18">
        <f>C6+август!D6</f>
        <v>22069.86</v>
      </c>
      <c r="E6" s="9">
        <f>2094.15+340.62</f>
        <v>2434.77</v>
      </c>
      <c r="F6" s="18">
        <f>E6+август!F6</f>
        <v>23316.68</v>
      </c>
      <c r="G6" s="18">
        <f t="shared" si="0"/>
        <v>-388.44000000000005</v>
      </c>
      <c r="H6" s="19">
        <f t="shared" si="0"/>
        <v>1246.8199999999997</v>
      </c>
      <c r="I6" s="9"/>
      <c r="J6" s="19">
        <f>I6+август!J6</f>
        <v>0</v>
      </c>
      <c r="K6" s="8"/>
      <c r="L6" s="18">
        <f>K6+август!L6</f>
        <v>0</v>
      </c>
    </row>
    <row r="7" spans="1:13">
      <c r="A7" s="1">
        <f t="shared" si="1"/>
        <v>5</v>
      </c>
      <c r="B7" s="34" t="str">
        <f>август!B7</f>
        <v>Сод.и ремонт лифтов</v>
      </c>
      <c r="C7" s="8">
        <f>15406.29+3319.76</f>
        <v>18726.050000000003</v>
      </c>
      <c r="D7" s="18">
        <f>C7+август!D7</f>
        <v>105932.66</v>
      </c>
      <c r="E7" s="9">
        <f>14363.22+2046.75</f>
        <v>16409.97</v>
      </c>
      <c r="F7" s="18">
        <f>E7+август!F7</f>
        <v>186017.43999999997</v>
      </c>
      <c r="G7" s="18">
        <f t="shared" si="0"/>
        <v>-2316.0800000000017</v>
      </c>
      <c r="H7" s="19">
        <f t="shared" si="0"/>
        <v>80084.77999999997</v>
      </c>
      <c r="I7" s="9"/>
      <c r="J7" s="19">
        <f>I7+август!J7</f>
        <v>0</v>
      </c>
      <c r="K7" s="8"/>
      <c r="L7" s="18">
        <f>K7+август!L7</f>
        <v>0</v>
      </c>
    </row>
    <row r="8" spans="1:13">
      <c r="A8" s="1">
        <f t="shared" si="1"/>
        <v>6</v>
      </c>
      <c r="B8" s="34" t="str">
        <f>август!B8</f>
        <v>Очистка мусоропроводов</v>
      </c>
      <c r="C8" s="8">
        <f>7193.94+1597.97</f>
        <v>8791.91</v>
      </c>
      <c r="D8" s="18">
        <f>C8+август!D8</f>
        <v>66883.200000000012</v>
      </c>
      <c r="E8" s="9">
        <f>6726.18+1093.68</f>
        <v>7819.8600000000006</v>
      </c>
      <c r="F8" s="18">
        <f>E8+август!F8</f>
        <v>71231.34</v>
      </c>
      <c r="G8" s="18">
        <f t="shared" si="0"/>
        <v>-972.04999999999927</v>
      </c>
      <c r="H8" s="19">
        <f t="shared" si="0"/>
        <v>4348.1399999999849</v>
      </c>
      <c r="I8" s="9"/>
      <c r="J8" s="19">
        <f>I8+август!J8</f>
        <v>0</v>
      </c>
      <c r="K8" s="8"/>
      <c r="L8" s="18">
        <f>K8+август!L8</f>
        <v>0</v>
      </c>
    </row>
    <row r="9" spans="1:13" ht="15" customHeight="1">
      <c r="A9" s="1">
        <f t="shared" si="1"/>
        <v>7</v>
      </c>
      <c r="B9" s="34" t="str">
        <f>август!B9</f>
        <v>Уборка и сан.очистка зем.уч.</v>
      </c>
      <c r="C9" s="8">
        <f>9682.68+2059.4</f>
        <v>11742.08</v>
      </c>
      <c r="D9" s="18">
        <f>C9+август!D9</f>
        <v>82208.53</v>
      </c>
      <c r="E9" s="9">
        <f>8558.5+1395.76</f>
        <v>9954.26</v>
      </c>
      <c r="F9" s="18">
        <f>E9+август!F9</f>
        <v>84437.61</v>
      </c>
      <c r="G9" s="18">
        <f t="shared" si="0"/>
        <v>-1787.8199999999997</v>
      </c>
      <c r="H9" s="19">
        <f t="shared" si="0"/>
        <v>2229.0800000000017</v>
      </c>
      <c r="I9" s="9"/>
      <c r="J9" s="19">
        <f>I9+август!J9</f>
        <v>0</v>
      </c>
      <c r="K9" s="8"/>
      <c r="L9" s="18">
        <f>K9+август!L9</f>
        <v>0</v>
      </c>
    </row>
    <row r="10" spans="1:13">
      <c r="A10" s="1">
        <f t="shared" si="1"/>
        <v>8</v>
      </c>
      <c r="B10" s="34" t="str">
        <f>август!B10</f>
        <v>Холодная вода</v>
      </c>
      <c r="C10" s="8">
        <f>48573.19+12012.68</f>
        <v>60585.87</v>
      </c>
      <c r="D10" s="18">
        <f>C10+август!D10</f>
        <v>463515.47</v>
      </c>
      <c r="E10" s="9">
        <f>44276.73+8517.45</f>
        <v>52794.180000000008</v>
      </c>
      <c r="F10" s="18">
        <f>E10+август!F10</f>
        <v>477787.16</v>
      </c>
      <c r="G10" s="18">
        <f t="shared" si="0"/>
        <v>-7791.6899999999951</v>
      </c>
      <c r="H10" s="19">
        <f t="shared" si="0"/>
        <v>14271.690000000002</v>
      </c>
      <c r="I10" s="9"/>
      <c r="J10" s="19">
        <f>I10+август!J10</f>
        <v>0</v>
      </c>
      <c r="K10" s="8"/>
      <c r="L10" s="18">
        <f>K10+август!L10</f>
        <v>0</v>
      </c>
    </row>
    <row r="11" spans="1:13">
      <c r="A11" s="1">
        <f t="shared" si="1"/>
        <v>9</v>
      </c>
      <c r="B11" s="34" t="str">
        <f>август!B11</f>
        <v>Канализир.х.воды</v>
      </c>
      <c r="C11" s="8">
        <f>0+0</f>
        <v>0</v>
      </c>
      <c r="D11" s="18">
        <f>C11+август!D11</f>
        <v>0</v>
      </c>
      <c r="E11" s="9">
        <f>2.85</f>
        <v>2.85</v>
      </c>
      <c r="F11" s="18">
        <f>E11+август!F11</f>
        <v>-196.6</v>
      </c>
      <c r="G11" s="18">
        <f>E11-C11</f>
        <v>2.85</v>
      </c>
      <c r="H11" s="19">
        <f t="shared" si="0"/>
        <v>-196.6</v>
      </c>
      <c r="I11" s="9"/>
      <c r="J11" s="19">
        <f>I11+август!J11</f>
        <v>0</v>
      </c>
      <c r="K11" s="8"/>
      <c r="L11" s="18">
        <f>K11+август!L11</f>
        <v>0</v>
      </c>
    </row>
    <row r="12" spans="1:13">
      <c r="A12" s="1">
        <f t="shared" si="1"/>
        <v>10</v>
      </c>
      <c r="B12" s="34" t="str">
        <f>август!B12</f>
        <v>Канализир.г.воды</v>
      </c>
      <c r="C12" s="8">
        <f>0+0</f>
        <v>0</v>
      </c>
      <c r="D12" s="18">
        <f>C12+август!D12</f>
        <v>0</v>
      </c>
      <c r="E12" s="9">
        <f>1.94</f>
        <v>1.94</v>
      </c>
      <c r="F12" s="18">
        <f>E12+август!F12</f>
        <v>75.399999999999991</v>
      </c>
      <c r="G12" s="18">
        <f t="shared" si="0"/>
        <v>1.94</v>
      </c>
      <c r="H12" s="19">
        <f t="shared" si="0"/>
        <v>75.399999999999991</v>
      </c>
      <c r="I12" s="9"/>
      <c r="J12" s="19">
        <f>I12+август!J12</f>
        <v>0</v>
      </c>
      <c r="K12" s="8"/>
      <c r="L12" s="18">
        <f>K12+август!L12</f>
        <v>0</v>
      </c>
    </row>
    <row r="13" spans="1:13">
      <c r="A13" s="1">
        <f t="shared" si="1"/>
        <v>11</v>
      </c>
      <c r="B13" s="34" t="str">
        <f>август!B13</f>
        <v>Тек.рем.общ.имущ.дома</v>
      </c>
      <c r="C13" s="8">
        <f>32857.42+6988.37</f>
        <v>39845.79</v>
      </c>
      <c r="D13" s="18">
        <f>C13+август!D13</f>
        <v>300036.43</v>
      </c>
      <c r="E13" s="9">
        <f>29356.28+4780.32</f>
        <v>34136.6</v>
      </c>
      <c r="F13" s="18">
        <f>E13+август!F13</f>
        <v>317124.40999999997</v>
      </c>
      <c r="G13" s="18">
        <f t="shared" si="0"/>
        <v>-5709.1900000000023</v>
      </c>
      <c r="H13" s="19">
        <f t="shared" si="0"/>
        <v>17087.979999999981</v>
      </c>
      <c r="I13" s="9"/>
      <c r="J13" s="19">
        <f>I13+август!J13</f>
        <v>0</v>
      </c>
      <c r="K13" s="8"/>
      <c r="L13" s="18">
        <f>K13+август!L13</f>
        <v>0</v>
      </c>
    </row>
    <row r="14" spans="1:13" ht="14.25" customHeight="1">
      <c r="A14" s="1">
        <f t="shared" si="1"/>
        <v>12</v>
      </c>
      <c r="B14" s="34" t="str">
        <f>август!B14</f>
        <v>Управление многокв.домом</v>
      </c>
      <c r="C14" s="8">
        <f>13598.03+2892.16</f>
        <v>16490.190000000002</v>
      </c>
      <c r="D14" s="18">
        <f>C14+август!D14</f>
        <v>120218.38</v>
      </c>
      <c r="E14" s="9">
        <f>12036.08+1962.41</f>
        <v>13998.49</v>
      </c>
      <c r="F14" s="18">
        <f>E14+август!F14</f>
        <v>122781.04</v>
      </c>
      <c r="G14" s="18">
        <f t="shared" si="0"/>
        <v>-2491.7000000000025</v>
      </c>
      <c r="H14" s="19">
        <f t="shared" si="0"/>
        <v>2562.6599999999889</v>
      </c>
      <c r="I14" s="9"/>
      <c r="J14" s="19">
        <f>I14+август!J14</f>
        <v>0</v>
      </c>
      <c r="K14" s="8"/>
      <c r="L14" s="18">
        <f>K14+август!L14</f>
        <v>0</v>
      </c>
    </row>
    <row r="15" spans="1:13">
      <c r="A15" s="1">
        <f t="shared" si="1"/>
        <v>13</v>
      </c>
      <c r="B15" s="34" t="str">
        <f>август!B15</f>
        <v>Водоотведение(кв)</v>
      </c>
      <c r="C15" s="8">
        <f>82737.07+20498.79</f>
        <v>103235.86000000002</v>
      </c>
      <c r="D15" s="18">
        <f>C15+август!D15</f>
        <v>793666.68</v>
      </c>
      <c r="E15" s="9">
        <f>76183.46+14543.92</f>
        <v>90727.38</v>
      </c>
      <c r="F15" s="18">
        <f>E15+август!F15</f>
        <v>823445.97</v>
      </c>
      <c r="G15" s="18">
        <f t="shared" si="0"/>
        <v>-12508.48000000001</v>
      </c>
      <c r="H15" s="19">
        <f t="shared" si="0"/>
        <v>29779.289999999921</v>
      </c>
      <c r="I15" s="9"/>
      <c r="J15" s="19">
        <f>I15+август!J15</f>
        <v>0</v>
      </c>
      <c r="K15" s="8"/>
      <c r="L15" s="18">
        <f>K15+август!L15</f>
        <v>0</v>
      </c>
    </row>
    <row r="16" spans="1:13" ht="14.25" customHeight="1">
      <c r="A16" s="1">
        <f t="shared" si="1"/>
        <v>14</v>
      </c>
      <c r="B16" s="34" t="str">
        <f>август!B16</f>
        <v>Электроснабж.на общед.нужды</v>
      </c>
      <c r="C16" s="8">
        <f>5435.78+1156.05</f>
        <v>6591.83</v>
      </c>
      <c r="D16" s="18">
        <f>C16+август!D16</f>
        <v>50927.670000000006</v>
      </c>
      <c r="E16" s="9">
        <f>4491.27+730.67</f>
        <v>5221.9400000000005</v>
      </c>
      <c r="F16" s="18">
        <f>E16+август!F16</f>
        <v>54400.740000000005</v>
      </c>
      <c r="G16" s="18">
        <f t="shared" si="0"/>
        <v>-1369.8899999999994</v>
      </c>
      <c r="H16" s="19">
        <f t="shared" si="0"/>
        <v>3473.0699999999997</v>
      </c>
      <c r="I16" s="9"/>
      <c r="J16" s="19">
        <f>I16+август!J16</f>
        <v>0</v>
      </c>
      <c r="K16" s="8"/>
      <c r="L16" s="18">
        <f>K16+август!L16</f>
        <v>0</v>
      </c>
    </row>
    <row r="17" spans="1:12" ht="13.5" customHeight="1">
      <c r="A17" s="1">
        <f t="shared" si="1"/>
        <v>15</v>
      </c>
      <c r="B17" s="34" t="str">
        <f>август!B17</f>
        <v>Эксплуатация общедом.ПУ</v>
      </c>
      <c r="C17" s="8">
        <f>3492.18+742.71</f>
        <v>4234.8899999999994</v>
      </c>
      <c r="D17" s="18">
        <f>C17+август!D17</f>
        <v>31869.149999999998</v>
      </c>
      <c r="E17" s="9">
        <f>3127.3+510.22</f>
        <v>3637.5200000000004</v>
      </c>
      <c r="F17" s="18">
        <f>E17+август!F17</f>
        <v>33550.12000000001</v>
      </c>
      <c r="G17" s="18">
        <f t="shared" si="0"/>
        <v>-597.36999999999898</v>
      </c>
      <c r="H17" s="19">
        <f t="shared" si="0"/>
        <v>1680.9700000000121</v>
      </c>
      <c r="I17" s="9"/>
      <c r="J17" s="19">
        <f>I17+август!J17</f>
        <v>0</v>
      </c>
      <c r="K17" s="8"/>
      <c r="L17" s="18">
        <f>K17+август!L17</f>
        <v>0</v>
      </c>
    </row>
    <row r="18" spans="1:12" ht="14.25" customHeight="1">
      <c r="A18" s="1">
        <f t="shared" si="1"/>
        <v>16</v>
      </c>
      <c r="B18" s="34" t="str">
        <f>август!B18</f>
        <v>Водоотведение(о/д нужды)</v>
      </c>
      <c r="C18" s="8">
        <f>0+0</f>
        <v>0</v>
      </c>
      <c r="D18" s="18">
        <f>C18+август!D18</f>
        <v>0</v>
      </c>
      <c r="E18" s="9">
        <f>3.82</f>
        <v>3.82</v>
      </c>
      <c r="F18" s="18">
        <f>E18+август!F18</f>
        <v>-78.490000000000009</v>
      </c>
      <c r="G18" s="18">
        <f t="shared" si="0"/>
        <v>3.82</v>
      </c>
      <c r="H18" s="19">
        <f t="shared" si="0"/>
        <v>-78.490000000000009</v>
      </c>
      <c r="I18" s="9"/>
      <c r="J18" s="19">
        <f>I18+август!J18</f>
        <v>0</v>
      </c>
      <c r="K18" s="8"/>
      <c r="L18" s="18">
        <f>K18+август!L18</f>
        <v>0</v>
      </c>
    </row>
    <row r="19" spans="1:12">
      <c r="A19" s="1">
        <f t="shared" si="1"/>
        <v>17</v>
      </c>
      <c r="B19" s="34" t="str">
        <f>август!B19</f>
        <v>Отопление (о/д нужды)</v>
      </c>
      <c r="C19" s="8">
        <f>0+0</f>
        <v>0</v>
      </c>
      <c r="D19" s="18">
        <f>C19+август!D19</f>
        <v>0</v>
      </c>
      <c r="E19" s="9">
        <v>47.65</v>
      </c>
      <c r="F19" s="18">
        <f>E19+август!F19</f>
        <v>364.56999999999994</v>
      </c>
      <c r="G19" s="18">
        <f t="shared" si="0"/>
        <v>47.65</v>
      </c>
      <c r="H19" s="19">
        <f t="shared" si="0"/>
        <v>364.56999999999994</v>
      </c>
      <c r="I19" s="9"/>
      <c r="J19" s="19">
        <f>I19+август!J19</f>
        <v>0</v>
      </c>
      <c r="K19" s="8"/>
      <c r="L19" s="18">
        <f>K19+август!L19</f>
        <v>0</v>
      </c>
    </row>
    <row r="20" spans="1:12" ht="14.25" customHeight="1">
      <c r="A20" s="1">
        <f t="shared" si="1"/>
        <v>18</v>
      </c>
      <c r="B20" s="34" t="str">
        <f>август!B20</f>
        <v>Гор.водоснабж.(о/д нужды)</v>
      </c>
      <c r="C20" s="8">
        <f>3967.53+842.05</f>
        <v>4809.58</v>
      </c>
      <c r="D20" s="18">
        <f>C20+август!D20</f>
        <v>42977.96</v>
      </c>
      <c r="E20" s="9">
        <f>3641.68+582.97</f>
        <v>4224.6499999999996</v>
      </c>
      <c r="F20" s="18">
        <f>E20+август!F20</f>
        <v>46797.579999999994</v>
      </c>
      <c r="G20" s="18">
        <f t="shared" si="0"/>
        <v>-584.93000000000029</v>
      </c>
      <c r="H20" s="19">
        <f t="shared" si="0"/>
        <v>3819.6199999999953</v>
      </c>
      <c r="I20" s="9"/>
      <c r="J20" s="19">
        <f>I20+август!J20</f>
        <v>0</v>
      </c>
      <c r="K20" s="8"/>
      <c r="L20" s="18">
        <f>K20+август!L20</f>
        <v>0</v>
      </c>
    </row>
    <row r="21" spans="1:12">
      <c r="A21" s="1">
        <f t="shared" si="1"/>
        <v>19</v>
      </c>
      <c r="B21" s="34" t="str">
        <f>август!B21</f>
        <v>Холодн водосн о/д нужды</v>
      </c>
      <c r="C21" s="8">
        <f>1780.43+378.24</f>
        <v>2158.67</v>
      </c>
      <c r="D21" s="18">
        <f>C21+август!D21</f>
        <v>18790.440000000002</v>
      </c>
      <c r="E21" s="9">
        <f>1706.92+261.33</f>
        <v>1968.25</v>
      </c>
      <c r="F21" s="18">
        <f>E21+август!F21</f>
        <v>21319.66</v>
      </c>
      <c r="G21" s="18">
        <f t="shared" si="0"/>
        <v>-190.42000000000007</v>
      </c>
      <c r="H21" s="19">
        <f t="shared" si="0"/>
        <v>2529.2199999999975</v>
      </c>
      <c r="I21" s="9"/>
      <c r="J21" s="19">
        <f>I21+август!J21</f>
        <v>0</v>
      </c>
      <c r="K21" s="8"/>
      <c r="L21" s="18">
        <f>K21+август!L21</f>
        <v>0</v>
      </c>
    </row>
    <row r="22" spans="1:12">
      <c r="A22" s="1">
        <f t="shared" si="1"/>
        <v>20</v>
      </c>
      <c r="B22" s="34">
        <f>август!B22</f>
        <v>0</v>
      </c>
      <c r="C22" s="8">
        <f>0+0</f>
        <v>0</v>
      </c>
      <c r="D22" s="18">
        <f>C22+август!D22</f>
        <v>1016.02</v>
      </c>
      <c r="E22" s="8">
        <f>0+0</f>
        <v>0</v>
      </c>
      <c r="F22" s="18">
        <f>E22+август!F22</f>
        <v>338.67</v>
      </c>
      <c r="G22" s="18">
        <f t="shared" si="0"/>
        <v>0</v>
      </c>
      <c r="H22" s="19">
        <f t="shared" si="0"/>
        <v>-677.34999999999991</v>
      </c>
      <c r="I22" s="9"/>
      <c r="J22" s="19">
        <f>I22+август!J22</f>
        <v>0</v>
      </c>
      <c r="K22" s="8"/>
      <c r="L22" s="18">
        <f>K22+август!L22</f>
        <v>0</v>
      </c>
    </row>
    <row r="23" spans="1:12">
      <c r="A23" s="21"/>
      <c r="B23" s="20" t="s">
        <v>12</v>
      </c>
      <c r="C23" s="18">
        <f t="shared" ref="C23:L23" si="2">SUM(C3:C22)</f>
        <v>510351.73000000004</v>
      </c>
      <c r="D23" s="18">
        <f t="shared" si="2"/>
        <v>4966984.1900000004</v>
      </c>
      <c r="E23" s="19">
        <f t="shared" si="2"/>
        <v>467029.5</v>
      </c>
      <c r="F23" s="18">
        <f t="shared" si="2"/>
        <v>5725656.4200000009</v>
      </c>
      <c r="G23" s="18">
        <f t="shared" si="2"/>
        <v>-43322.230000000047</v>
      </c>
      <c r="H23" s="19">
        <f t="shared" si="2"/>
        <v>758672.22999999952</v>
      </c>
      <c r="I23" s="19">
        <f t="shared" si="2"/>
        <v>0</v>
      </c>
      <c r="J23" s="19">
        <f t="shared" si="2"/>
        <v>0</v>
      </c>
      <c r="K23" s="18">
        <f t="shared" si="2"/>
        <v>0</v>
      </c>
      <c r="L23" s="18">
        <f t="shared" si="2"/>
        <v>0</v>
      </c>
    </row>
    <row r="24" spans="1:12" ht="9.75" customHeight="1"/>
    <row r="25" spans="1:12" hidden="1"/>
    <row r="26" spans="1:12">
      <c r="B26" s="38" t="s">
        <v>35</v>
      </c>
      <c r="C26" s="9">
        <f t="shared" ref="C26:H26" si="3">C3+C6+C7+C8+C9+C13+C14+C17</f>
        <v>179009.30000000005</v>
      </c>
      <c r="D26" s="9">
        <f t="shared" si="3"/>
        <v>1300684.7799999998</v>
      </c>
      <c r="E26" s="9">
        <f t="shared" si="3"/>
        <v>153651.34999999998</v>
      </c>
      <c r="F26" s="9">
        <f t="shared" si="3"/>
        <v>1431653.27</v>
      </c>
      <c r="G26" s="9">
        <f t="shared" si="3"/>
        <v>-25357.950000000015</v>
      </c>
      <c r="H26" s="9">
        <f t="shared" si="3"/>
        <v>130968.48999999989</v>
      </c>
    </row>
    <row r="27" spans="1:12" ht="6" customHeight="1"/>
    <row r="28" spans="1:12">
      <c r="B28" s="1" t="s">
        <v>36</v>
      </c>
      <c r="C28" s="9">
        <f>C10+C11+C12+C15+C18+C21</f>
        <v>165980.40000000002</v>
      </c>
      <c r="D28" s="9">
        <f t="shared" ref="D28:J28" si="4">D10+D11+D12+D15+D18+D21</f>
        <v>1275972.5899999999</v>
      </c>
      <c r="E28" s="9">
        <f t="shared" si="4"/>
        <v>145498.42000000001</v>
      </c>
      <c r="F28" s="9">
        <f t="shared" si="4"/>
        <v>1322353.0999999999</v>
      </c>
      <c r="G28" s="9">
        <f t="shared" si="4"/>
        <v>-20481.980000000003</v>
      </c>
      <c r="H28" s="9">
        <f t="shared" si="4"/>
        <v>46380.509999999922</v>
      </c>
      <c r="I28" s="9">
        <f t="shared" si="4"/>
        <v>0</v>
      </c>
      <c r="J28" s="9">
        <f t="shared" si="4"/>
        <v>0</v>
      </c>
    </row>
    <row r="29" spans="1:12">
      <c r="B29" s="1" t="s">
        <v>37</v>
      </c>
      <c r="C29" s="9">
        <f>C16</f>
        <v>6591.83</v>
      </c>
      <c r="D29" s="9">
        <f t="shared" ref="D29:J29" si="5">D16</f>
        <v>50927.670000000006</v>
      </c>
      <c r="E29" s="9">
        <f t="shared" si="5"/>
        <v>5221.9400000000005</v>
      </c>
      <c r="F29" s="9">
        <f t="shared" si="5"/>
        <v>54400.740000000005</v>
      </c>
      <c r="G29" s="9">
        <f t="shared" si="5"/>
        <v>-1369.8899999999994</v>
      </c>
      <c r="H29" s="9">
        <f t="shared" si="5"/>
        <v>3473.0699999999997</v>
      </c>
      <c r="I29" s="9">
        <f t="shared" si="5"/>
        <v>0</v>
      </c>
      <c r="J29" s="9">
        <f t="shared" si="5"/>
        <v>0</v>
      </c>
    </row>
    <row r="30" spans="1:12">
      <c r="B30" s="1" t="s">
        <v>38</v>
      </c>
      <c r="C30" s="9">
        <f>C4+C5+C19+C20</f>
        <v>158770.20000000001</v>
      </c>
      <c r="D30" s="9">
        <f t="shared" ref="D30:J30" si="6">D4+D5+D19+D20</f>
        <v>2338383.13</v>
      </c>
      <c r="E30" s="9">
        <f t="shared" si="6"/>
        <v>162657.78999999998</v>
      </c>
      <c r="F30" s="9">
        <f t="shared" si="6"/>
        <v>2916910.64</v>
      </c>
      <c r="G30" s="9">
        <f t="shared" si="6"/>
        <v>3887.5899999999692</v>
      </c>
      <c r="H30" s="9">
        <f t="shared" si="6"/>
        <v>578527.50999999978</v>
      </c>
      <c r="I30" s="9">
        <f t="shared" si="6"/>
        <v>0</v>
      </c>
      <c r="J30" s="9">
        <f t="shared" si="6"/>
        <v>0</v>
      </c>
    </row>
    <row r="33" spans="5:8">
      <c r="F33">
        <v>413440.44</v>
      </c>
      <c r="G33">
        <v>395558.39</v>
      </c>
    </row>
    <row r="34" spans="5:8">
      <c r="F34">
        <v>96911.29</v>
      </c>
      <c r="G34">
        <v>71471.11</v>
      </c>
    </row>
    <row r="35" spans="5:8">
      <c r="E35" s="44"/>
      <c r="F35" s="11">
        <f>F33+F34</f>
        <v>510351.73</v>
      </c>
      <c r="G35" s="11">
        <f>G33+G34</f>
        <v>467029.5</v>
      </c>
      <c r="H35" s="24"/>
    </row>
    <row r="37" spans="5:8">
      <c r="H37" s="24"/>
    </row>
  </sheetData>
  <phoneticPr fontId="0" type="noConversion"/>
  <pageMargins left="0.17" right="0.2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декабрь17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2017-09-28T06:11:58Z</cp:lastPrinted>
  <dcterms:created xsi:type="dcterms:W3CDTF">1996-10-08T23:32:33Z</dcterms:created>
  <dcterms:modified xsi:type="dcterms:W3CDTF">2018-01-18T14:52:28Z</dcterms:modified>
</cp:coreProperties>
</file>