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2" activeTab="1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1" r:id="rId9"/>
    <sheet name="октябрь" sheetId="10" r:id="rId10"/>
    <sheet name="ноябрь" sheetId="12" r:id="rId11"/>
    <sheet name="декабрь17" sheetId="13" r:id="rId12"/>
    <sheet name="Лист14" sheetId="14" r:id="rId13"/>
  </sheets>
  <calcPr calcId="125725"/>
</workbook>
</file>

<file path=xl/calcChain.xml><?xml version="1.0" encoding="utf-8"?>
<calcChain xmlns="http://schemas.openxmlformats.org/spreadsheetml/2006/main">
  <c r="E6" i="13"/>
  <c r="C6"/>
  <c r="C21"/>
  <c r="E21"/>
  <c r="E18"/>
  <c r="C19"/>
  <c r="C18"/>
  <c r="E11"/>
  <c r="E10"/>
  <c r="C11"/>
  <c r="C10"/>
  <c r="D33"/>
  <c r="E33"/>
  <c r="C33"/>
  <c r="E15"/>
  <c r="C15"/>
  <c r="E22"/>
  <c r="C22"/>
  <c r="E20"/>
  <c r="C20"/>
  <c r="E19"/>
  <c r="E17"/>
  <c r="C17"/>
  <c r="E16"/>
  <c r="C16"/>
  <c r="E13"/>
  <c r="C13"/>
  <c r="E12"/>
  <c r="C12"/>
  <c r="E14"/>
  <c r="C14"/>
  <c r="E9"/>
  <c r="C9"/>
  <c r="E7"/>
  <c r="C7"/>
  <c r="E8"/>
  <c r="C8"/>
  <c r="E5"/>
  <c r="C5"/>
  <c r="E4"/>
  <c r="C4"/>
  <c r="E3"/>
  <c r="C3"/>
  <c r="E21" i="12"/>
  <c r="C21"/>
  <c r="E6"/>
  <c r="C6"/>
  <c r="E19"/>
  <c r="E18"/>
  <c r="C19"/>
  <c r="C18"/>
  <c r="E11"/>
  <c r="E10"/>
  <c r="C11"/>
  <c r="C10"/>
  <c r="C4"/>
  <c r="C22"/>
  <c r="E33"/>
  <c r="D33"/>
  <c r="E15"/>
  <c r="C15"/>
  <c r="E22"/>
  <c r="E20"/>
  <c r="C20"/>
  <c r="E17"/>
  <c r="C17"/>
  <c r="E16"/>
  <c r="C16"/>
  <c r="E13"/>
  <c r="C13"/>
  <c r="E12"/>
  <c r="C12"/>
  <c r="E14"/>
  <c r="C14"/>
  <c r="E9"/>
  <c r="C9"/>
  <c r="E7"/>
  <c r="C7"/>
  <c r="E8"/>
  <c r="C8"/>
  <c r="C5"/>
  <c r="E5"/>
  <c r="E4"/>
  <c r="E3"/>
  <c r="C3"/>
  <c r="E6" i="10"/>
  <c r="C6"/>
  <c r="E21"/>
  <c r="C21"/>
  <c r="E19"/>
  <c r="E18"/>
  <c r="C19"/>
  <c r="C18"/>
  <c r="E11"/>
  <c r="E10"/>
  <c r="C11"/>
  <c r="C10"/>
  <c r="E33"/>
  <c r="D33"/>
  <c r="E15"/>
  <c r="C15"/>
  <c r="E22"/>
  <c r="C22"/>
  <c r="E20"/>
  <c r="C20"/>
  <c r="E17"/>
  <c r="C17"/>
  <c r="E5"/>
  <c r="C5"/>
  <c r="E16"/>
  <c r="C16"/>
  <c r="E13"/>
  <c r="C13"/>
  <c r="E12"/>
  <c r="C12"/>
  <c r="E14"/>
  <c r="C14"/>
  <c r="E9"/>
  <c r="C9"/>
  <c r="E7"/>
  <c r="C7"/>
  <c r="E8"/>
  <c r="C8"/>
  <c r="E4"/>
  <c r="C4"/>
  <c r="E3"/>
  <c r="C3"/>
  <c r="E6" i="11"/>
  <c r="C6"/>
  <c r="E21"/>
  <c r="C21"/>
  <c r="E19"/>
  <c r="E18"/>
  <c r="C19"/>
  <c r="C18"/>
  <c r="E11"/>
  <c r="E10"/>
  <c r="C11"/>
  <c r="C10"/>
  <c r="F33"/>
  <c r="E33"/>
  <c r="E15"/>
  <c r="C15"/>
  <c r="E22"/>
  <c r="C22"/>
  <c r="E20"/>
  <c r="C20"/>
  <c r="E17"/>
  <c r="C17"/>
  <c r="E16"/>
  <c r="C16"/>
  <c r="E13"/>
  <c r="C13"/>
  <c r="E12"/>
  <c r="C12"/>
  <c r="E14"/>
  <c r="C14"/>
  <c r="E9"/>
  <c r="C9"/>
  <c r="E7"/>
  <c r="C7"/>
  <c r="E8"/>
  <c r="C8"/>
  <c r="E5"/>
  <c r="C5"/>
  <c r="E4"/>
  <c r="C4"/>
  <c r="E3"/>
  <c r="C3"/>
  <c r="H34" i="9" l="1"/>
  <c r="G34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E22" i="8"/>
  <c r="E20"/>
  <c r="E17"/>
  <c r="C15"/>
  <c r="F35"/>
  <c r="E35"/>
  <c r="C22"/>
  <c r="E21"/>
  <c r="C21"/>
  <c r="C20"/>
  <c r="E19"/>
  <c r="C19"/>
  <c r="E18"/>
  <c r="C18"/>
  <c r="C17"/>
  <c r="E16"/>
  <c r="C16"/>
  <c r="E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C22" i="6"/>
  <c r="E22"/>
  <c r="K33"/>
  <c r="J33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I36" i="7"/>
  <c r="H36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E10"/>
  <c r="C11"/>
  <c r="C10"/>
  <c r="E9"/>
  <c r="C9"/>
  <c r="E8"/>
  <c r="C8"/>
  <c r="E7"/>
  <c r="C7"/>
  <c r="E6"/>
  <c r="C6"/>
  <c r="E5"/>
  <c r="C5"/>
  <c r="E4"/>
  <c r="C4"/>
  <c r="E3"/>
  <c r="C3"/>
  <c r="I36" i="4"/>
  <c r="H36"/>
  <c r="C7" i="5"/>
  <c r="C22"/>
  <c r="C21"/>
  <c r="C20"/>
  <c r="C19"/>
  <c r="C18"/>
  <c r="C17"/>
  <c r="C16"/>
  <c r="C15"/>
  <c r="C14"/>
  <c r="C11"/>
  <c r="C10"/>
  <c r="C9"/>
  <c r="C8"/>
  <c r="C6"/>
  <c r="C5"/>
  <c r="I38"/>
  <c r="H38"/>
  <c r="E22" i="3"/>
  <c r="C22"/>
  <c r="E20"/>
  <c r="C20"/>
  <c r="E17"/>
  <c r="C17"/>
  <c r="E16"/>
  <c r="C16"/>
  <c r="E15"/>
  <c r="C15"/>
  <c r="E14"/>
  <c r="C14"/>
  <c r="E13"/>
  <c r="C13"/>
  <c r="E12"/>
  <c r="C12"/>
  <c r="E9"/>
  <c r="C9"/>
  <c r="E8"/>
  <c r="C8"/>
  <c r="E7"/>
  <c r="C7"/>
  <c r="E5"/>
  <c r="C5"/>
  <c r="E4"/>
  <c r="C4"/>
  <c r="E3"/>
  <c r="C3"/>
  <c r="E28" i="13"/>
  <c r="I28"/>
  <c r="C28"/>
  <c r="E28" i="12"/>
  <c r="I28"/>
  <c r="C28"/>
  <c r="E28" i="10"/>
  <c r="I28"/>
  <c r="C28"/>
  <c r="E28" i="11"/>
  <c r="I28"/>
  <c r="C28"/>
  <c r="E28" i="9"/>
  <c r="I28"/>
  <c r="C28"/>
  <c r="E28" i="8"/>
  <c r="I28"/>
  <c r="C28"/>
  <c r="E28" i="7"/>
  <c r="I28"/>
  <c r="C28"/>
  <c r="E28" i="6"/>
  <c r="I28"/>
  <c r="C28"/>
  <c r="E30" i="5"/>
  <c r="I30"/>
  <c r="C30"/>
  <c r="E28" i="4"/>
  <c r="I28"/>
  <c r="J28"/>
  <c r="C28"/>
  <c r="E28" i="3"/>
  <c r="I28"/>
  <c r="J28"/>
  <c r="C28"/>
  <c r="E28" i="2"/>
  <c r="I28"/>
  <c r="J28"/>
  <c r="C28"/>
  <c r="E25" i="13"/>
  <c r="C25"/>
  <c r="I27" i="12"/>
  <c r="E27"/>
  <c r="C27"/>
  <c r="I26"/>
  <c r="E26"/>
  <c r="C26"/>
  <c r="I27" i="10"/>
  <c r="E27"/>
  <c r="C27"/>
  <c r="I26"/>
  <c r="E26"/>
  <c r="C26"/>
  <c r="I27" i="11" l="1"/>
  <c r="E27"/>
  <c r="C27"/>
  <c r="I26"/>
  <c r="E26"/>
  <c r="C26"/>
  <c r="I27" i="9"/>
  <c r="E27"/>
  <c r="C27"/>
  <c r="I26"/>
  <c r="E26"/>
  <c r="C26"/>
  <c r="I27" i="8"/>
  <c r="E27"/>
  <c r="C27"/>
  <c r="I26"/>
  <c r="E26"/>
  <c r="C26"/>
  <c r="I27" i="7"/>
  <c r="E27"/>
  <c r="C27"/>
  <c r="I26"/>
  <c r="E26"/>
  <c r="C26"/>
  <c r="I27" i="6"/>
  <c r="E27"/>
  <c r="C27"/>
  <c r="I26"/>
  <c r="E26"/>
  <c r="C26"/>
  <c r="I29" i="5"/>
  <c r="E29"/>
  <c r="C29"/>
  <c r="I28"/>
  <c r="E28"/>
  <c r="C28"/>
  <c r="I27" i="4"/>
  <c r="E27"/>
  <c r="C27"/>
  <c r="I26"/>
  <c r="E26"/>
  <c r="C26"/>
  <c r="I27" i="3"/>
  <c r="E27"/>
  <c r="C27"/>
  <c r="I26"/>
  <c r="E26"/>
  <c r="C26"/>
  <c r="E27" i="2"/>
  <c r="I27"/>
  <c r="C27"/>
  <c r="E26"/>
  <c r="I26"/>
  <c r="C26"/>
  <c r="C27" i="13"/>
  <c r="C26"/>
  <c r="I27"/>
  <c r="E27"/>
  <c r="I26"/>
  <c r="E26"/>
  <c r="E25" i="11" l="1"/>
  <c r="C25"/>
  <c r="E25" i="7"/>
  <c r="C25"/>
  <c r="E25" i="4"/>
  <c r="C25"/>
  <c r="B17" i="3"/>
  <c r="B17" i="4"/>
  <c r="B19" i="5"/>
  <c r="B17" i="6"/>
  <c r="B17" i="7"/>
  <c r="B17" i="8"/>
  <c r="B17" i="9"/>
  <c r="B17" i="11"/>
  <c r="B17" i="10"/>
  <c r="B17" i="12"/>
  <c r="B17" i="13"/>
  <c r="B18" i="3"/>
  <c r="B18" i="4"/>
  <c r="B20" i="5"/>
  <c r="B18" i="6"/>
  <c r="B18" i="7"/>
  <c r="B18" i="8"/>
  <c r="B18" i="9"/>
  <c r="B18" i="11"/>
  <c r="B18" i="10"/>
  <c r="B18" i="12"/>
  <c r="B18" i="13"/>
  <c r="B19" i="3"/>
  <c r="B19" i="4"/>
  <c r="B21" i="5"/>
  <c r="B19" i="6"/>
  <c r="B19" i="7"/>
  <c r="B19" i="8"/>
  <c r="B19" i="9"/>
  <c r="B19" i="11"/>
  <c r="B19" i="10"/>
  <c r="B19" i="12"/>
  <c r="B19" i="13"/>
  <c r="B20" i="3"/>
  <c r="B20" i="4"/>
  <c r="B22" i="5"/>
  <c r="B20" i="6"/>
  <c r="B20" i="7"/>
  <c r="B20" i="8"/>
  <c r="B20" i="9"/>
  <c r="B20" i="11"/>
  <c r="B20" i="10"/>
  <c r="B20" i="12"/>
  <c r="B20" i="13"/>
  <c r="B4" i="3"/>
  <c r="B4" i="4"/>
  <c r="B6" i="5"/>
  <c r="B4" i="6"/>
  <c r="B4" i="7"/>
  <c r="B4" i="8"/>
  <c r="B4" i="9"/>
  <c r="B4" i="11"/>
  <c r="B4" i="10"/>
  <c r="B4" i="12"/>
  <c r="B4" i="13"/>
  <c r="B5" i="3"/>
  <c r="B5" i="4"/>
  <c r="B7" i="5"/>
  <c r="B5" i="6"/>
  <c r="B5" i="7"/>
  <c r="B5" i="8"/>
  <c r="B5" i="9"/>
  <c r="B5" i="11"/>
  <c r="B5" i="10"/>
  <c r="B5" i="12"/>
  <c r="B5" i="13"/>
  <c r="B6" i="3"/>
  <c r="B6" i="4"/>
  <c r="B8" i="5"/>
  <c r="B6" i="6"/>
  <c r="B6" i="7"/>
  <c r="B6" i="8"/>
  <c r="B6" i="9"/>
  <c r="B6" i="11"/>
  <c r="B6" i="10"/>
  <c r="B6" i="12"/>
  <c r="B6" i="13"/>
  <c r="B7" i="3"/>
  <c r="B7" i="4"/>
  <c r="B9" i="5"/>
  <c r="B7" i="6"/>
  <c r="B7" i="7"/>
  <c r="B7" i="8"/>
  <c r="B7" i="9"/>
  <c r="B7" i="11"/>
  <c r="B7" i="10"/>
  <c r="B7" i="12"/>
  <c r="B7" i="13"/>
  <c r="B8" i="3"/>
  <c r="B8" i="4"/>
  <c r="B10" i="5"/>
  <c r="B8" i="6"/>
  <c r="B8" i="7"/>
  <c r="B8" i="8"/>
  <c r="B8" i="9"/>
  <c r="B8" i="11"/>
  <c r="B8" i="10"/>
  <c r="B8" i="12"/>
  <c r="B8" i="13"/>
  <c r="B9" i="3"/>
  <c r="B9" i="4"/>
  <c r="B11" i="5"/>
  <c r="B9" i="6"/>
  <c r="B9" i="7"/>
  <c r="B9" i="8"/>
  <c r="B9" i="9"/>
  <c r="B9" i="11"/>
  <c r="B9" i="10"/>
  <c r="B9" i="12"/>
  <c r="B9" i="13"/>
  <c r="B10" i="3"/>
  <c r="B10" i="4"/>
  <c r="B12" i="5"/>
  <c r="B10" i="6"/>
  <c r="B10" i="7"/>
  <c r="B10" i="8"/>
  <c r="B10" i="9"/>
  <c r="B10" i="11"/>
  <c r="B10" i="10"/>
  <c r="B10" i="12"/>
  <c r="B10" i="13"/>
  <c r="B11" i="3"/>
  <c r="B11" i="4"/>
  <c r="B13" i="5"/>
  <c r="B11" i="6"/>
  <c r="B11" i="7"/>
  <c r="B11" i="8"/>
  <c r="B11" i="9"/>
  <c r="B11" i="11"/>
  <c r="B11" i="10"/>
  <c r="B11" i="12"/>
  <c r="B11" i="13"/>
  <c r="B12" i="3"/>
  <c r="B12" i="4"/>
  <c r="B14" i="5"/>
  <c r="B12" i="6"/>
  <c r="B12" i="7"/>
  <c r="B12" i="8"/>
  <c r="B12" i="9"/>
  <c r="B12" i="11"/>
  <c r="B12" i="10"/>
  <c r="B12" i="12"/>
  <c r="B12" i="13"/>
  <c r="B13" i="3"/>
  <c r="B13" i="4"/>
  <c r="B15" i="5"/>
  <c r="B13" i="6"/>
  <c r="B13" i="7"/>
  <c r="B13" i="8"/>
  <c r="B13" i="9"/>
  <c r="B13" i="11"/>
  <c r="B13" i="10"/>
  <c r="B13" i="12"/>
  <c r="B13" i="13"/>
  <c r="B14" i="3"/>
  <c r="B14" i="4"/>
  <c r="B16" i="5"/>
  <c r="B14" i="6"/>
  <c r="B14" i="7"/>
  <c r="B14" i="8"/>
  <c r="B14" i="9"/>
  <c r="B14" i="11"/>
  <c r="B14" i="10"/>
  <c r="B14" i="12"/>
  <c r="B14" i="13"/>
  <c r="B15" i="3"/>
  <c r="B15" i="4"/>
  <c r="B17" i="5"/>
  <c r="B15" i="6"/>
  <c r="B15" i="7"/>
  <c r="B15" i="8"/>
  <c r="B15" i="9"/>
  <c r="B15" i="11"/>
  <c r="B15" i="10"/>
  <c r="B15" i="12"/>
  <c r="B15" i="13"/>
  <c r="B16" i="3"/>
  <c r="B16" i="4"/>
  <c r="B18" i="5"/>
  <c r="B16" i="6"/>
  <c r="B16" i="7"/>
  <c r="B16" i="8"/>
  <c r="B16" i="9"/>
  <c r="B16" i="11"/>
  <c r="B16" i="10"/>
  <c r="B16" i="12"/>
  <c r="B16" i="13"/>
  <c r="B21" i="3"/>
  <c r="B21" i="4"/>
  <c r="B23" i="5"/>
  <c r="B21" i="6"/>
  <c r="B21" i="7"/>
  <c r="B21" i="8"/>
  <c r="B21" i="9"/>
  <c r="B21" i="10"/>
  <c r="B21" i="12"/>
  <c r="B21" i="13"/>
  <c r="B22" i="3"/>
  <c r="B22" i="4"/>
  <c r="B24" i="5"/>
  <c r="B22" i="6"/>
  <c r="B22" i="7"/>
  <c r="B22" i="8"/>
  <c r="B22" i="9"/>
  <c r="B22" i="11"/>
  <c r="B22" i="10"/>
  <c r="B22" i="12"/>
  <c r="B22" i="13"/>
  <c r="B3" i="3"/>
  <c r="B3" i="4"/>
  <c r="B5" i="5"/>
  <c r="B3" i="6"/>
  <c r="B3" i="7"/>
  <c r="B3" i="8"/>
  <c r="B3" i="9"/>
  <c r="B3" i="11"/>
  <c r="B3" i="10"/>
  <c r="B3" i="12"/>
  <c r="B3" i="13"/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3"/>
  <c r="J4"/>
  <c r="J5"/>
  <c r="J5" i="3"/>
  <c r="J5" i="4"/>
  <c r="J7" i="5"/>
  <c r="J5" i="6"/>
  <c r="J5" i="7"/>
  <c r="J5" i="8"/>
  <c r="J5" i="9"/>
  <c r="J5" i="11"/>
  <c r="J5" i="10"/>
  <c r="J5" i="12"/>
  <c r="J5" i="13"/>
  <c r="J6" i="2"/>
  <c r="J7"/>
  <c r="J7" i="3"/>
  <c r="J7" i="4"/>
  <c r="J9" i="5"/>
  <c r="J7" i="6"/>
  <c r="J7" i="7"/>
  <c r="J7" i="8"/>
  <c r="J7" i="9"/>
  <c r="J7" i="11"/>
  <c r="J7" i="10"/>
  <c r="J7" i="12"/>
  <c r="J7" i="13"/>
  <c r="J8" i="2"/>
  <c r="J27" s="1"/>
  <c r="J9"/>
  <c r="J9" i="3"/>
  <c r="J9" i="4"/>
  <c r="J11" i="5"/>
  <c r="J9" i="6"/>
  <c r="J9" i="7"/>
  <c r="J9" i="8"/>
  <c r="J9" i="9"/>
  <c r="J9" i="11"/>
  <c r="J9" i="10"/>
  <c r="J9" i="12"/>
  <c r="J9" i="13"/>
  <c r="J10" i="2"/>
  <c r="J11"/>
  <c r="J11" i="3"/>
  <c r="J11" i="4"/>
  <c r="J13" i="5"/>
  <c r="J11" i="6"/>
  <c r="J11" i="7"/>
  <c r="J11" i="8"/>
  <c r="J11" i="9"/>
  <c r="J11" i="11"/>
  <c r="J11" i="10"/>
  <c r="J11" i="12"/>
  <c r="J11" i="13"/>
  <c r="J12" i="2"/>
  <c r="J13"/>
  <c r="J13" i="3"/>
  <c r="J13" i="4"/>
  <c r="J15" i="5"/>
  <c r="J13" i="6"/>
  <c r="J13" i="7"/>
  <c r="J13" i="8"/>
  <c r="J13" i="9"/>
  <c r="J13" i="11"/>
  <c r="J13" i="10"/>
  <c r="J13" i="12"/>
  <c r="J13" i="13"/>
  <c r="J14" i="2"/>
  <c r="J15"/>
  <c r="J16"/>
  <c r="J17"/>
  <c r="J18"/>
  <c r="J19"/>
  <c r="J20"/>
  <c r="J21"/>
  <c r="J22"/>
  <c r="J3"/>
  <c r="F4"/>
  <c r="F5"/>
  <c r="F6"/>
  <c r="F7"/>
  <c r="F8"/>
  <c r="F9"/>
  <c r="F10"/>
  <c r="F11"/>
  <c r="F11" i="3"/>
  <c r="F12" i="2"/>
  <c r="F13"/>
  <c r="F14"/>
  <c r="F15"/>
  <c r="F15" i="3"/>
  <c r="F15" i="4"/>
  <c r="F17" i="5"/>
  <c r="F15" i="6"/>
  <c r="F15" i="7"/>
  <c r="F15" i="8"/>
  <c r="F15" i="9"/>
  <c r="F15" i="11"/>
  <c r="F15" i="10"/>
  <c r="F15" i="12"/>
  <c r="F15" i="13"/>
  <c r="F16" i="2"/>
  <c r="F17"/>
  <c r="F17" i="3"/>
  <c r="F17" i="4"/>
  <c r="F19" i="5"/>
  <c r="F17" i="6"/>
  <c r="F17" i="7"/>
  <c r="F17" i="8"/>
  <c r="F17" i="9"/>
  <c r="F17" i="11"/>
  <c r="F17" i="10"/>
  <c r="F17" i="12"/>
  <c r="F17" i="13"/>
  <c r="F18" i="2"/>
  <c r="F19"/>
  <c r="F19" i="3"/>
  <c r="F19" i="4"/>
  <c r="F21" i="5"/>
  <c r="F19" i="6"/>
  <c r="F19" i="7"/>
  <c r="F19" i="8"/>
  <c r="F19" i="9"/>
  <c r="F19" i="11"/>
  <c r="F19" i="10"/>
  <c r="F19" i="12"/>
  <c r="F19" i="13"/>
  <c r="F20" i="2"/>
  <c r="F21"/>
  <c r="F21" i="3"/>
  <c r="F21" i="4"/>
  <c r="F23" i="5"/>
  <c r="F21" i="6"/>
  <c r="F21" i="7"/>
  <c r="F21" i="8"/>
  <c r="F21" i="9"/>
  <c r="F21" i="11"/>
  <c r="F21" i="10"/>
  <c r="F21" i="12"/>
  <c r="F21" i="13"/>
  <c r="F22" i="2"/>
  <c r="F28" s="1"/>
  <c r="F3"/>
  <c r="D4"/>
  <c r="D5"/>
  <c r="D6"/>
  <c r="D7"/>
  <c r="D7" i="3"/>
  <c r="D8" i="2"/>
  <c r="D9"/>
  <c r="D9" i="3"/>
  <c r="D10" i="2"/>
  <c r="D11"/>
  <c r="D12"/>
  <c r="D13"/>
  <c r="D13" i="3"/>
  <c r="D14" i="2"/>
  <c r="D15"/>
  <c r="D15" i="3"/>
  <c r="D16" i="2"/>
  <c r="D17"/>
  <c r="D18"/>
  <c r="D19"/>
  <c r="D20"/>
  <c r="D21"/>
  <c r="D21" i="3"/>
  <c r="D21" i="4"/>
  <c r="D22" i="2"/>
  <c r="D28" s="1"/>
  <c r="D3"/>
  <c r="G3" i="13"/>
  <c r="G20" i="12"/>
  <c r="G14"/>
  <c r="G10"/>
  <c r="G3"/>
  <c r="C23"/>
  <c r="C33" s="1"/>
  <c r="F14" i="3"/>
  <c r="F12"/>
  <c r="F10"/>
  <c r="F5"/>
  <c r="F5" i="4"/>
  <c r="F7" i="5"/>
  <c r="F5" i="6"/>
  <c r="F5" i="7"/>
  <c r="F5" i="8"/>
  <c r="F5" i="9"/>
  <c r="F5" i="11"/>
  <c r="F5" i="10"/>
  <c r="F5" i="12"/>
  <c r="F5" i="13"/>
  <c r="F3" i="3"/>
  <c r="F4"/>
  <c r="F6"/>
  <c r="F7"/>
  <c r="F7" i="4"/>
  <c r="F9" i="5"/>
  <c r="F7" i="6"/>
  <c r="F7" i="7"/>
  <c r="F7" i="8"/>
  <c r="F7" i="9"/>
  <c r="F7" i="11"/>
  <c r="F7" i="10"/>
  <c r="F7" i="12"/>
  <c r="F7" i="13"/>
  <c r="F8" i="3"/>
  <c r="F9"/>
  <c r="F9" i="4"/>
  <c r="F11" i="5"/>
  <c r="F9" i="6"/>
  <c r="F9" i="7"/>
  <c r="F9" i="8"/>
  <c r="F9" i="9"/>
  <c r="F9" i="11"/>
  <c r="F9" i="10"/>
  <c r="F9" i="12"/>
  <c r="F9" i="13"/>
  <c r="F13" i="3"/>
  <c r="F13" i="4"/>
  <c r="F15" i="5"/>
  <c r="F13" i="6"/>
  <c r="F13" i="7"/>
  <c r="F13" i="8"/>
  <c r="F13" i="9"/>
  <c r="F13" i="11"/>
  <c r="F13" i="10"/>
  <c r="F13" i="12"/>
  <c r="F13" i="13"/>
  <c r="F16" i="3"/>
  <c r="F16" i="4"/>
  <c r="F18" i="5"/>
  <c r="F16" i="6"/>
  <c r="F16" i="7"/>
  <c r="F16" i="8"/>
  <c r="F16" i="9"/>
  <c r="F16" i="11"/>
  <c r="F16" i="10"/>
  <c r="F16" i="12"/>
  <c r="F16" i="13"/>
  <c r="F18" i="3"/>
  <c r="F18" i="4"/>
  <c r="F20" i="3"/>
  <c r="F20" i="4"/>
  <c r="F22" i="3"/>
  <c r="F28" s="1"/>
  <c r="F22" i="4"/>
  <c r="G21" i="13"/>
  <c r="G22"/>
  <c r="J4" i="3"/>
  <c r="J6"/>
  <c r="J6" i="4"/>
  <c r="J8" i="5"/>
  <c r="J6" i="6"/>
  <c r="J6" i="7"/>
  <c r="J6" i="8"/>
  <c r="J6" i="9"/>
  <c r="J6" i="11"/>
  <c r="J6" i="10"/>
  <c r="J6" i="12"/>
  <c r="J6" i="13"/>
  <c r="J8" i="3"/>
  <c r="J27" s="1"/>
  <c r="J8" i="4"/>
  <c r="J27" s="1"/>
  <c r="J10" i="5"/>
  <c r="J8" i="6"/>
  <c r="J8" i="7"/>
  <c r="J8" i="8"/>
  <c r="J8" i="9"/>
  <c r="J8" i="11"/>
  <c r="J8" i="10"/>
  <c r="J8" i="12"/>
  <c r="J8" i="13"/>
  <c r="J10" i="3"/>
  <c r="J10" i="4"/>
  <c r="J12" i="5"/>
  <c r="J10" i="6"/>
  <c r="J10" i="7"/>
  <c r="J10" i="8"/>
  <c r="J10" i="9"/>
  <c r="J10" i="11"/>
  <c r="J10" i="10"/>
  <c r="J10" i="12"/>
  <c r="J10" i="13"/>
  <c r="J12" i="3"/>
  <c r="J12" i="4"/>
  <c r="J14" i="5"/>
  <c r="J12" i="6"/>
  <c r="J12" i="7"/>
  <c r="J12" i="8"/>
  <c r="J12" i="9"/>
  <c r="J12" i="11"/>
  <c r="J12" i="10"/>
  <c r="J12" i="12"/>
  <c r="J12" i="13"/>
  <c r="D5" i="3"/>
  <c r="D8"/>
  <c r="D8" i="4"/>
  <c r="D11" i="3"/>
  <c r="D14"/>
  <c r="D14" i="4"/>
  <c r="D16" i="3"/>
  <c r="D16" i="4"/>
  <c r="D3" i="3"/>
  <c r="C23" i="8"/>
  <c r="K23" i="13"/>
  <c r="I23"/>
  <c r="G4"/>
  <c r="G5"/>
  <c r="G6"/>
  <c r="G7"/>
  <c r="G8"/>
  <c r="G9"/>
  <c r="G10"/>
  <c r="G11"/>
  <c r="G13"/>
  <c r="G14"/>
  <c r="G15"/>
  <c r="G16"/>
  <c r="G17"/>
  <c r="G18"/>
  <c r="G19"/>
  <c r="G20"/>
  <c r="E23"/>
  <c r="A4"/>
  <c r="A5"/>
  <c r="A6"/>
  <c r="A7"/>
  <c r="A8"/>
  <c r="A9"/>
  <c r="A10"/>
  <c r="A11"/>
  <c r="A12"/>
  <c r="A13"/>
  <c r="A14"/>
  <c r="A15"/>
  <c r="A16"/>
  <c r="A17"/>
  <c r="A18"/>
  <c r="A19"/>
  <c r="A20"/>
  <c r="K23" i="12"/>
  <c r="I23"/>
  <c r="G4"/>
  <c r="G5"/>
  <c r="G6"/>
  <c r="G7"/>
  <c r="G8"/>
  <c r="G27" s="1"/>
  <c r="G9"/>
  <c r="G11"/>
  <c r="G12"/>
  <c r="G13"/>
  <c r="G15"/>
  <c r="G16"/>
  <c r="G17"/>
  <c r="G18"/>
  <c r="G19"/>
  <c r="G21"/>
  <c r="G22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6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5" i="5"/>
  <c r="I2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E25"/>
  <c r="C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K23" i="4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 s="1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G4" i="2"/>
  <c r="H4"/>
  <c r="G5"/>
  <c r="G6"/>
  <c r="G7"/>
  <c r="G8"/>
  <c r="G9"/>
  <c r="H9"/>
  <c r="G10"/>
  <c r="H10"/>
  <c r="G11"/>
  <c r="G12"/>
  <c r="H12"/>
  <c r="G13"/>
  <c r="G14"/>
  <c r="H14"/>
  <c r="G15"/>
  <c r="G16"/>
  <c r="H16"/>
  <c r="G17"/>
  <c r="G18"/>
  <c r="G19"/>
  <c r="G20"/>
  <c r="G21"/>
  <c r="G22"/>
  <c r="G28" s="1"/>
  <c r="L4" i="14"/>
  <c r="L24"/>
  <c r="L10" i="3"/>
  <c r="L10" i="4"/>
  <c r="L12" i="5"/>
  <c r="L10" i="6"/>
  <c r="L10" i="7"/>
  <c r="L10" i="8"/>
  <c r="L10" i="9"/>
  <c r="L10" i="11"/>
  <c r="L10" i="10"/>
  <c r="L10" i="12"/>
  <c r="L10" i="13"/>
  <c r="L11" i="3"/>
  <c r="L11" i="4"/>
  <c r="L13" i="5"/>
  <c r="L11" i="6"/>
  <c r="L11" i="7"/>
  <c r="L11" i="8"/>
  <c r="L11" i="9"/>
  <c r="L11" i="11"/>
  <c r="L11" i="10"/>
  <c r="L11" i="12"/>
  <c r="L11" i="13"/>
  <c r="J14" i="3"/>
  <c r="J14" i="4"/>
  <c r="J16" i="5"/>
  <c r="J14" i="6"/>
  <c r="J14" i="7"/>
  <c r="J14" i="8"/>
  <c r="J14" i="9"/>
  <c r="J14" i="11"/>
  <c r="J14" i="10"/>
  <c r="J14" i="12"/>
  <c r="J14" i="13"/>
  <c r="J15" i="3"/>
  <c r="J15" i="4"/>
  <c r="J17" i="5"/>
  <c r="J15" i="6"/>
  <c r="J15" i="7"/>
  <c r="J15" i="8"/>
  <c r="J15" i="9"/>
  <c r="J15" i="11"/>
  <c r="J15" i="10"/>
  <c r="J15" i="12"/>
  <c r="J15" i="13"/>
  <c r="J16" i="3"/>
  <c r="J16" i="4"/>
  <c r="J18" i="5"/>
  <c r="J16" i="6"/>
  <c r="J16" i="7"/>
  <c r="J16" i="8"/>
  <c r="J16" i="9"/>
  <c r="J16" i="11"/>
  <c r="J16" i="10"/>
  <c r="J16" i="12"/>
  <c r="J16" i="13"/>
  <c r="J17" i="3"/>
  <c r="J17" i="4"/>
  <c r="J19" i="5"/>
  <c r="J17" i="6"/>
  <c r="J17" i="7"/>
  <c r="J17" i="8"/>
  <c r="J17" i="9"/>
  <c r="J17" i="11"/>
  <c r="J17" i="10"/>
  <c r="J17" i="12"/>
  <c r="J17" i="13"/>
  <c r="J18" i="3"/>
  <c r="J18" i="4"/>
  <c r="J20" i="5"/>
  <c r="J18" i="6"/>
  <c r="J18" i="7"/>
  <c r="J18" i="8"/>
  <c r="J18" i="9"/>
  <c r="J18" i="11"/>
  <c r="J18" i="10"/>
  <c r="J18" i="12"/>
  <c r="J18" i="13"/>
  <c r="J19" i="3"/>
  <c r="J19" i="4"/>
  <c r="J21" i="5"/>
  <c r="J19" i="6"/>
  <c r="J19" i="7"/>
  <c r="J19" i="8"/>
  <c r="J19" i="9"/>
  <c r="J19" i="11"/>
  <c r="J19" i="10"/>
  <c r="J19" i="12"/>
  <c r="J19" i="13"/>
  <c r="J20" i="3"/>
  <c r="J20" i="4"/>
  <c r="J22" i="5"/>
  <c r="J20" i="6"/>
  <c r="J20" i="7"/>
  <c r="J20" i="8"/>
  <c r="J20" i="9"/>
  <c r="J20" i="11"/>
  <c r="J20" i="10"/>
  <c r="J20" i="12"/>
  <c r="J20" i="13"/>
  <c r="J21" i="3"/>
  <c r="J21" i="4"/>
  <c r="J23" i="5"/>
  <c r="J21" i="6"/>
  <c r="J21" i="7"/>
  <c r="J21" i="8"/>
  <c r="J21" i="9"/>
  <c r="J21" i="11"/>
  <c r="J21" i="10"/>
  <c r="J21" i="12"/>
  <c r="J21" i="13"/>
  <c r="J22" i="3"/>
  <c r="J22" i="4"/>
  <c r="J24" i="5"/>
  <c r="J22" i="6"/>
  <c r="J22" i="7"/>
  <c r="J22" i="8"/>
  <c r="J22" i="9"/>
  <c r="J22" i="11"/>
  <c r="J22" i="10"/>
  <c r="J22" i="12"/>
  <c r="J22" i="13"/>
  <c r="D17" i="3"/>
  <c r="D17" i="4"/>
  <c r="H18" i="2"/>
  <c r="D19" i="3"/>
  <c r="H22" i="2"/>
  <c r="K24" i="14"/>
  <c r="J4"/>
  <c r="J24"/>
  <c r="I24"/>
  <c r="F4"/>
  <c r="F24"/>
  <c r="D4"/>
  <c r="E4"/>
  <c r="E24"/>
  <c r="C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2"/>
  <c r="I23"/>
  <c r="H3"/>
  <c r="G3"/>
  <c r="G23"/>
  <c r="F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J3" i="3"/>
  <c r="G23" i="12"/>
  <c r="L3" i="3"/>
  <c r="L3" i="4"/>
  <c r="L5" i="5"/>
  <c r="L21" i="3"/>
  <c r="L21" i="4"/>
  <c r="L23" i="5"/>
  <c r="L21" i="6"/>
  <c r="L21" i="7"/>
  <c r="L21" i="8"/>
  <c r="L21" i="9"/>
  <c r="L21" i="11"/>
  <c r="L21" i="10"/>
  <c r="L21" i="12"/>
  <c r="L21" i="13"/>
  <c r="L19" i="3"/>
  <c r="L19" i="4"/>
  <c r="L21" i="5"/>
  <c r="L19" i="6"/>
  <c r="L19" i="7"/>
  <c r="L19" i="8"/>
  <c r="L19" i="9"/>
  <c r="L19" i="11"/>
  <c r="L19" i="10"/>
  <c r="L19" i="12"/>
  <c r="L19" i="13"/>
  <c r="L17" i="3"/>
  <c r="L17" i="4"/>
  <c r="L19" i="5"/>
  <c r="L17" i="6"/>
  <c r="L17" i="7"/>
  <c r="L17" i="8"/>
  <c r="L17" i="9"/>
  <c r="L17" i="11"/>
  <c r="L17" i="10"/>
  <c r="L17" i="12"/>
  <c r="L17" i="13"/>
  <c r="L15" i="3"/>
  <c r="L15" i="4"/>
  <c r="L17" i="5"/>
  <c r="L15" i="6"/>
  <c r="L15" i="7"/>
  <c r="L15" i="8"/>
  <c r="L15" i="9"/>
  <c r="L15" i="11"/>
  <c r="L15" i="10"/>
  <c r="L15" i="12"/>
  <c r="L15" i="13"/>
  <c r="L13" i="3"/>
  <c r="L13" i="4"/>
  <c r="L15" i="5"/>
  <c r="L13" i="6"/>
  <c r="L13" i="7"/>
  <c r="L13" i="8"/>
  <c r="L13" i="9"/>
  <c r="L13" i="11"/>
  <c r="L13" i="10"/>
  <c r="L13" i="12"/>
  <c r="L13" i="13"/>
  <c r="L9" i="3"/>
  <c r="L9" i="4"/>
  <c r="L11" i="5"/>
  <c r="L9" i="6"/>
  <c r="L9" i="7"/>
  <c r="L9" i="8"/>
  <c r="L9" i="9"/>
  <c r="L9" i="11"/>
  <c r="L9" i="10"/>
  <c r="L9" i="12"/>
  <c r="L9" i="13"/>
  <c r="L7" i="3"/>
  <c r="L7" i="4"/>
  <c r="L9" i="5"/>
  <c r="L7" i="6"/>
  <c r="L7" i="7"/>
  <c r="L7" i="8"/>
  <c r="L7" i="9"/>
  <c r="L7" i="11"/>
  <c r="L7" i="10"/>
  <c r="L7" i="12"/>
  <c r="L7" i="13"/>
  <c r="L5" i="3"/>
  <c r="L5" i="4"/>
  <c r="L7" i="5"/>
  <c r="L5" i="6"/>
  <c r="L5" i="7"/>
  <c r="L5" i="8"/>
  <c r="L5" i="9"/>
  <c r="L5" i="11"/>
  <c r="L5" i="10"/>
  <c r="L5" i="12"/>
  <c r="L5" i="13"/>
  <c r="L22" i="3"/>
  <c r="L22" i="4"/>
  <c r="L24" i="5"/>
  <c r="L22" i="6"/>
  <c r="L22" i="7"/>
  <c r="L22" i="8"/>
  <c r="L22" i="9"/>
  <c r="L22" i="11"/>
  <c r="L22" i="10"/>
  <c r="L22" i="12"/>
  <c r="L22" i="13"/>
  <c r="L20" i="3"/>
  <c r="L20" i="4"/>
  <c r="L22" i="5"/>
  <c r="L20" i="6"/>
  <c r="L20" i="7"/>
  <c r="L20" i="8"/>
  <c r="L20" i="9"/>
  <c r="L20" i="11"/>
  <c r="L20" i="10"/>
  <c r="L20" i="12"/>
  <c r="L20" i="13"/>
  <c r="L18" i="3"/>
  <c r="L18" i="4"/>
  <c r="L20" i="5"/>
  <c r="L18" i="6"/>
  <c r="L18" i="7"/>
  <c r="L18" i="8"/>
  <c r="L18" i="9"/>
  <c r="L18" i="11"/>
  <c r="L18" i="10"/>
  <c r="L18" i="12"/>
  <c r="L18" i="13"/>
  <c r="L16" i="3"/>
  <c r="L16" i="4"/>
  <c r="L18" i="5"/>
  <c r="L16" i="6"/>
  <c r="L16" i="7"/>
  <c r="L16" i="8"/>
  <c r="L16" i="9"/>
  <c r="L16" i="11"/>
  <c r="L16" i="10"/>
  <c r="L16" i="12"/>
  <c r="L16" i="13"/>
  <c r="L14" i="3"/>
  <c r="L14" i="4"/>
  <c r="L16" i="5"/>
  <c r="L14" i="6"/>
  <c r="L14" i="7"/>
  <c r="L14" i="8"/>
  <c r="L14" i="9"/>
  <c r="L14" i="11"/>
  <c r="L14" i="10"/>
  <c r="L14" i="12"/>
  <c r="L14" i="13"/>
  <c r="L12" i="3"/>
  <c r="L12" i="4"/>
  <c r="L14" i="5"/>
  <c r="L12" i="6"/>
  <c r="L12" i="7"/>
  <c r="L12" i="8"/>
  <c r="L12" i="9"/>
  <c r="L12" i="11"/>
  <c r="L12" i="10"/>
  <c r="L12" i="12"/>
  <c r="L12" i="13"/>
  <c r="L8" i="3"/>
  <c r="L8" i="4"/>
  <c r="L10" i="5"/>
  <c r="L8" i="6"/>
  <c r="L8" i="7"/>
  <c r="L8" i="8"/>
  <c r="L8" i="9"/>
  <c r="L8" i="11"/>
  <c r="L8" i="10"/>
  <c r="L8" i="12"/>
  <c r="L8" i="13"/>
  <c r="L6" i="3"/>
  <c r="L6" i="4"/>
  <c r="L8" i="5"/>
  <c r="L6" i="6"/>
  <c r="L6" i="7"/>
  <c r="L6" i="8"/>
  <c r="L6" i="9"/>
  <c r="L6" i="11"/>
  <c r="L6" i="10"/>
  <c r="L6" i="12"/>
  <c r="L6" i="13"/>
  <c r="L4" i="3"/>
  <c r="L4" i="4"/>
  <c r="H21" i="2"/>
  <c r="H17"/>
  <c r="G23" i="10"/>
  <c r="D23" i="2"/>
  <c r="D4" i="3"/>
  <c r="D4" i="4"/>
  <c r="D6" i="3"/>
  <c r="D10"/>
  <c r="D10" i="4"/>
  <c r="D12" i="3"/>
  <c r="D12" i="4"/>
  <c r="D12" i="6"/>
  <c r="D12" i="7"/>
  <c r="D11" i="4"/>
  <c r="D11" i="6"/>
  <c r="M4" i="2"/>
  <c r="G12" i="13"/>
  <c r="G23"/>
  <c r="C23"/>
  <c r="D6" i="4"/>
  <c r="D6" i="6"/>
  <c r="D6" i="7"/>
  <c r="D6" i="8"/>
  <c r="D6" i="9"/>
  <c r="D6" i="11"/>
  <c r="H20" i="2"/>
  <c r="D20" i="3"/>
  <c r="D20" i="4"/>
  <c r="D20" i="6"/>
  <c r="D20" i="7"/>
  <c r="J23" i="2"/>
  <c r="H19"/>
  <c r="D24" i="14"/>
  <c r="D22" i="3"/>
  <c r="D28" s="1"/>
  <c r="D18"/>
  <c r="D22" i="4"/>
  <c r="H20" i="3"/>
  <c r="D22" i="6"/>
  <c r="D22" i="7"/>
  <c r="D22" i="8"/>
  <c r="D22" i="9"/>
  <c r="D22" i="11"/>
  <c r="D22" i="10"/>
  <c r="D22" i="12"/>
  <c r="D22" i="13"/>
  <c r="G4" i="14"/>
  <c r="G24"/>
  <c r="H4"/>
  <c r="H24"/>
  <c r="H22" i="3"/>
  <c r="H18"/>
  <c r="H16"/>
  <c r="H17"/>
  <c r="H13" i="2"/>
  <c r="H7"/>
  <c r="G23" i="11"/>
  <c r="G25" i="5"/>
  <c r="G23" i="4"/>
  <c r="H21" i="3"/>
  <c r="L3" i="6"/>
  <c r="L6" i="5"/>
  <c r="L4" i="6"/>
  <c r="L4" i="7"/>
  <c r="L4" i="8"/>
  <c r="L4" i="9"/>
  <c r="L4" i="11"/>
  <c r="L4" i="10"/>
  <c r="L4" i="12"/>
  <c r="L4" i="13"/>
  <c r="L23" i="4"/>
  <c r="L23" i="2"/>
  <c r="L23" i="3"/>
  <c r="J4" i="4"/>
  <c r="M4" i="3"/>
  <c r="J23"/>
  <c r="J3" i="4"/>
  <c r="F24" i="5"/>
  <c r="H22" i="4"/>
  <c r="F22" i="5"/>
  <c r="F20" i="6"/>
  <c r="H20" i="4"/>
  <c r="F11"/>
  <c r="H11" i="3"/>
  <c r="F8" i="4"/>
  <c r="F27" s="1"/>
  <c r="F10" i="5"/>
  <c r="F29" s="1"/>
  <c r="F8" i="6"/>
  <c r="F27" s="1"/>
  <c r="F8" i="7"/>
  <c r="F8" i="8"/>
  <c r="F8" i="9"/>
  <c r="F8" i="11"/>
  <c r="F8" i="10"/>
  <c r="F8" i="12"/>
  <c r="F8" i="13"/>
  <c r="H8" i="3"/>
  <c r="H27" s="1"/>
  <c r="F6" i="4"/>
  <c r="H6" i="3"/>
  <c r="H10"/>
  <c r="F10" i="4"/>
  <c r="F12" i="5"/>
  <c r="F10" i="6"/>
  <c r="F10" i="7"/>
  <c r="F10" i="8"/>
  <c r="F10" i="9"/>
  <c r="F10" i="11"/>
  <c r="F10" i="10"/>
  <c r="F10" i="12"/>
  <c r="F10" i="13"/>
  <c r="F14" i="4"/>
  <c r="F16" i="5"/>
  <c r="F14" i="6"/>
  <c r="F14" i="7"/>
  <c r="F14" i="8"/>
  <c r="F14" i="9"/>
  <c r="F14" i="11"/>
  <c r="F14" i="10"/>
  <c r="F14" i="12"/>
  <c r="F14" i="13"/>
  <c r="H14" i="3"/>
  <c r="F4" i="4"/>
  <c r="F6" i="5"/>
  <c r="F4" i="6"/>
  <c r="F4" i="7"/>
  <c r="F4" i="8"/>
  <c r="F4" i="9"/>
  <c r="F4" i="11"/>
  <c r="F4" i="10"/>
  <c r="F4" i="12"/>
  <c r="F4" i="13"/>
  <c r="H4" i="3"/>
  <c r="H12"/>
  <c r="F12" i="4"/>
  <c r="F20" i="5"/>
  <c r="F18" i="6"/>
  <c r="F18" i="7"/>
  <c r="F18" i="8"/>
  <c r="F18" i="9"/>
  <c r="F18" i="11"/>
  <c r="F18" i="10"/>
  <c r="F18" i="12"/>
  <c r="F18" i="13"/>
  <c r="H18" i="4"/>
  <c r="F3"/>
  <c r="F25" s="1"/>
  <c r="F23" i="3"/>
  <c r="H22" i="5"/>
  <c r="H15" i="2"/>
  <c r="H11"/>
  <c r="H8"/>
  <c r="H27" s="1"/>
  <c r="H6"/>
  <c r="H5"/>
  <c r="D6" i="10"/>
  <c r="D12" i="8"/>
  <c r="H10" i="4"/>
  <c r="H4"/>
  <c r="D19"/>
  <c r="H19" i="3"/>
  <c r="H9"/>
  <c r="D9" i="4"/>
  <c r="H8"/>
  <c r="H27" s="1"/>
  <c r="D29" i="5"/>
  <c r="D20" i="8"/>
  <c r="D18" i="6"/>
  <c r="D11" i="7"/>
  <c r="H21" i="4"/>
  <c r="H17"/>
  <c r="H3" i="3"/>
  <c r="D3" i="4"/>
  <c r="D23" i="3"/>
  <c r="H16" i="4"/>
  <c r="H13" i="3"/>
  <c r="D13" i="4"/>
  <c r="H7" i="3"/>
  <c r="D7" i="4"/>
  <c r="H5" i="3"/>
  <c r="D5" i="4"/>
  <c r="D15"/>
  <c r="H15" i="3"/>
  <c r="H23" i="2"/>
  <c r="H20" i="5"/>
  <c r="H14" i="4"/>
  <c r="L23" i="6"/>
  <c r="L3" i="7"/>
  <c r="L25" i="5"/>
  <c r="J23" i="4"/>
  <c r="J5" i="5"/>
  <c r="M4" i="4"/>
  <c r="J6" i="5"/>
  <c r="J30" s="1"/>
  <c r="H12" i="4"/>
  <c r="F14" i="5"/>
  <c r="F5"/>
  <c r="F23" i="4"/>
  <c r="F8" i="5"/>
  <c r="H6" i="4"/>
  <c r="F13" i="5"/>
  <c r="H11" i="4"/>
  <c r="F20" i="7"/>
  <c r="H20" i="6"/>
  <c r="F22"/>
  <c r="F28" s="1"/>
  <c r="H24" i="5"/>
  <c r="H15" i="4"/>
  <c r="D16" i="6"/>
  <c r="H18" i="5"/>
  <c r="H3" i="4"/>
  <c r="D23"/>
  <c r="D11" i="8"/>
  <c r="H18" i="6"/>
  <c r="D18" i="7"/>
  <c r="D20" i="9"/>
  <c r="D8" i="6"/>
  <c r="D27" s="1"/>
  <c r="H10" i="5"/>
  <c r="H29" s="1"/>
  <c r="D28"/>
  <c r="H9" i="4"/>
  <c r="H26" s="1"/>
  <c r="D4" i="6"/>
  <c r="H6" i="5"/>
  <c r="H5" i="4"/>
  <c r="H7"/>
  <c r="H13"/>
  <c r="H19" i="5"/>
  <c r="D17" i="6"/>
  <c r="H23" i="5"/>
  <c r="D21" i="6"/>
  <c r="D14"/>
  <c r="H16" i="5"/>
  <c r="H19" i="4"/>
  <c r="D10" i="6"/>
  <c r="H12" i="5"/>
  <c r="D12" i="9"/>
  <c r="D6" i="12"/>
  <c r="H23" i="3"/>
  <c r="L3" i="8"/>
  <c r="L23" i="7"/>
  <c r="M6" i="5"/>
  <c r="J4" i="6"/>
  <c r="J28" s="1"/>
  <c r="J3"/>
  <c r="J25" i="5"/>
  <c r="H14"/>
  <c r="F12" i="6"/>
  <c r="F22" i="7"/>
  <c r="F28" s="1"/>
  <c r="H22" i="6"/>
  <c r="F20" i="8"/>
  <c r="H20" i="7"/>
  <c r="F11" i="6"/>
  <c r="H13" i="5"/>
  <c r="F6" i="6"/>
  <c r="H8" i="5"/>
  <c r="F3" i="6"/>
  <c r="F25" i="5"/>
  <c r="D12" i="11"/>
  <c r="D10" i="7"/>
  <c r="H10" i="6"/>
  <c r="H14"/>
  <c r="D14" i="7"/>
  <c r="D13" i="6"/>
  <c r="H15" i="5"/>
  <c r="D7" i="6"/>
  <c r="H9" i="5"/>
  <c r="D5" i="6"/>
  <c r="H7" i="5"/>
  <c r="H4" i="6"/>
  <c r="D4" i="7"/>
  <c r="D9" i="6"/>
  <c r="H11" i="5"/>
  <c r="H8" i="6"/>
  <c r="H27" s="1"/>
  <c r="D8" i="7"/>
  <c r="D27" s="1"/>
  <c r="D20" i="11"/>
  <c r="D11" i="9"/>
  <c r="D6" i="13"/>
  <c r="H21" i="5"/>
  <c r="D19" i="6"/>
  <c r="D21" i="7"/>
  <c r="H21" i="6"/>
  <c r="D17" i="7"/>
  <c r="H17" i="6"/>
  <c r="D18" i="8"/>
  <c r="H18" i="7"/>
  <c r="H5" i="5"/>
  <c r="D3" i="6"/>
  <c r="D25" i="5"/>
  <c r="D16" i="7"/>
  <c r="H16" i="6"/>
  <c r="H17" i="5"/>
  <c r="D15" i="6"/>
  <c r="H23" i="4"/>
  <c r="L3" i="9"/>
  <c r="L23" i="8"/>
  <c r="M4" i="6"/>
  <c r="J4" i="7"/>
  <c r="J23" i="6"/>
  <c r="J3" i="7"/>
  <c r="H12" i="6"/>
  <c r="F12" i="7"/>
  <c r="F23" i="6"/>
  <c r="F3" i="7"/>
  <c r="F25" s="1"/>
  <c r="F6"/>
  <c r="H6" i="6"/>
  <c r="F11" i="7"/>
  <c r="H11" i="6"/>
  <c r="F20" i="9"/>
  <c r="H20" i="8"/>
  <c r="F22"/>
  <c r="F28" s="1"/>
  <c r="H22" i="7"/>
  <c r="D16" i="8"/>
  <c r="H16" i="7"/>
  <c r="D3"/>
  <c r="H3" i="6"/>
  <c r="D23"/>
  <c r="H19"/>
  <c r="D19" i="7"/>
  <c r="D20" i="10"/>
  <c r="D8" i="8"/>
  <c r="D27" s="1"/>
  <c r="H8" i="7"/>
  <c r="H27" s="1"/>
  <c r="H4"/>
  <c r="D4" i="8"/>
  <c r="D14"/>
  <c r="H14" i="7"/>
  <c r="D12" i="10"/>
  <c r="D15" i="7"/>
  <c r="H15" i="6"/>
  <c r="H18" i="8"/>
  <c r="D18" i="9"/>
  <c r="H17" i="7"/>
  <c r="D17" i="8"/>
  <c r="H21" i="7"/>
  <c r="D21" i="8"/>
  <c r="D11" i="11"/>
  <c r="H9" i="6"/>
  <c r="H26" s="1"/>
  <c r="D9" i="7"/>
  <c r="D26" s="1"/>
  <c r="D5"/>
  <c r="H5" i="6"/>
  <c r="D7" i="7"/>
  <c r="H7" i="6"/>
  <c r="D13" i="7"/>
  <c r="H13" i="6"/>
  <c r="H10" i="7"/>
  <c r="D10" i="8"/>
  <c r="H25" i="5"/>
  <c r="L3" i="11"/>
  <c r="L23" i="9"/>
  <c r="J23" i="7"/>
  <c r="J3" i="8"/>
  <c r="J4"/>
  <c r="M4" i="7"/>
  <c r="F23"/>
  <c r="F3" i="8"/>
  <c r="F12"/>
  <c r="H12" i="7"/>
  <c r="F22" i="9"/>
  <c r="F28" s="1"/>
  <c r="H22" i="8"/>
  <c r="F20" i="11"/>
  <c r="H20" i="9"/>
  <c r="F11" i="8"/>
  <c r="H11" i="7"/>
  <c r="F6" i="8"/>
  <c r="H6" i="7"/>
  <c r="H13"/>
  <c r="D13" i="8"/>
  <c r="H7" i="7"/>
  <c r="D7" i="8"/>
  <c r="D5"/>
  <c r="H5" i="7"/>
  <c r="D11" i="10"/>
  <c r="D15" i="8"/>
  <c r="H15" i="7"/>
  <c r="D12" i="12"/>
  <c r="H14" i="8"/>
  <c r="D14" i="9"/>
  <c r="H8" i="8"/>
  <c r="H27" s="1"/>
  <c r="D8" i="9"/>
  <c r="D27" s="1"/>
  <c r="H10" i="8"/>
  <c r="D10" i="9"/>
  <c r="D9" i="8"/>
  <c r="D26" s="1"/>
  <c r="H9" i="7"/>
  <c r="H26" s="1"/>
  <c r="D21" i="9"/>
  <c r="H21" i="8"/>
  <c r="D17" i="9"/>
  <c r="H17" i="8"/>
  <c r="D18" i="11"/>
  <c r="H18" i="9"/>
  <c r="D4"/>
  <c r="H4" i="8"/>
  <c r="D20" i="12"/>
  <c r="H19" i="7"/>
  <c r="D19" i="8"/>
  <c r="D3"/>
  <c r="D23" i="7"/>
  <c r="H3"/>
  <c r="H25" s="1"/>
  <c r="H16" i="8"/>
  <c r="D16" i="9"/>
  <c r="H23" i="6"/>
  <c r="L3" i="10"/>
  <c r="L23" i="11"/>
  <c r="J3" i="9"/>
  <c r="J23" i="8"/>
  <c r="J4" i="9"/>
  <c r="M4" i="8"/>
  <c r="F3" i="9"/>
  <c r="F23" i="8"/>
  <c r="F6" i="9"/>
  <c r="H6" i="8"/>
  <c r="F11" i="9"/>
  <c r="H11" i="8"/>
  <c r="F20" i="10"/>
  <c r="H20" i="11"/>
  <c r="F22"/>
  <c r="F28" s="1"/>
  <c r="H22" i="9"/>
  <c r="F12"/>
  <c r="H12" i="8"/>
  <c r="H19"/>
  <c r="D19" i="9"/>
  <c r="D10" i="11"/>
  <c r="H10" i="9"/>
  <c r="D8" i="11"/>
  <c r="D27" s="1"/>
  <c r="H8" i="9"/>
  <c r="H27" s="1"/>
  <c r="D14" i="11"/>
  <c r="H14" i="9"/>
  <c r="D12" i="13"/>
  <c r="D7" i="9"/>
  <c r="H7" i="8"/>
  <c r="D13" i="9"/>
  <c r="H13" i="8"/>
  <c r="D16" i="11"/>
  <c r="H16" i="9"/>
  <c r="D3"/>
  <c r="H3" i="8"/>
  <c r="D23"/>
  <c r="D20" i="13"/>
  <c r="H4" i="9"/>
  <c r="D4" i="11"/>
  <c r="D18" i="10"/>
  <c r="H18" i="11"/>
  <c r="H17" i="9"/>
  <c r="D17" i="11"/>
  <c r="H21" i="9"/>
  <c r="D21" i="11"/>
  <c r="D9" i="9"/>
  <c r="H9" i="8"/>
  <c r="D15" i="9"/>
  <c r="H15" i="8"/>
  <c r="D11" i="12"/>
  <c r="D5" i="9"/>
  <c r="H5" i="8"/>
  <c r="H23" i="7"/>
  <c r="H23" i="8"/>
  <c r="L3" i="12"/>
  <c r="L23" i="10"/>
  <c r="J4" i="11"/>
  <c r="M4" i="9"/>
  <c r="J23"/>
  <c r="J3" i="11"/>
  <c r="F12"/>
  <c r="H12" i="9"/>
  <c r="F22" i="10"/>
  <c r="F28" s="1"/>
  <c r="H22" i="11"/>
  <c r="F20" i="12"/>
  <c r="H20" i="10"/>
  <c r="F11" i="11"/>
  <c r="H11" i="9"/>
  <c r="F6" i="11"/>
  <c r="H6" i="9"/>
  <c r="F3" i="11"/>
  <c r="F25" s="1"/>
  <c r="F23" i="9"/>
  <c r="H5"/>
  <c r="D5" i="11"/>
  <c r="H15" i="9"/>
  <c r="D15" i="11"/>
  <c r="D9"/>
  <c r="D26" s="1"/>
  <c r="H9" i="9"/>
  <c r="H26" s="1"/>
  <c r="H18" i="10"/>
  <c r="D18" i="12"/>
  <c r="H19" i="9"/>
  <c r="D19" i="11"/>
  <c r="D11" i="13"/>
  <c r="D21" i="10"/>
  <c r="H21" i="11"/>
  <c r="D17" i="10"/>
  <c r="H17" i="11"/>
  <c r="D4" i="10"/>
  <c r="H4" i="11"/>
  <c r="D3"/>
  <c r="H3" i="9"/>
  <c r="D23"/>
  <c r="D16" i="10"/>
  <c r="H16" i="11"/>
  <c r="D13"/>
  <c r="H13" i="9"/>
  <c r="H7"/>
  <c r="D7" i="11"/>
  <c r="H14"/>
  <c r="D14" i="10"/>
  <c r="H8" i="11"/>
  <c r="H27" s="1"/>
  <c r="D8" i="10"/>
  <c r="D27" s="1"/>
  <c r="H10" i="11"/>
  <c r="D10" i="10"/>
  <c r="L3" i="13"/>
  <c r="L23"/>
  <c r="L23" i="12"/>
  <c r="J3" i="10"/>
  <c r="J23" i="11"/>
  <c r="M4"/>
  <c r="J4" i="10"/>
  <c r="F3"/>
  <c r="F23" i="11"/>
  <c r="F6" i="10"/>
  <c r="H6" i="11"/>
  <c r="F11" i="10"/>
  <c r="H11" i="11"/>
  <c r="F20" i="13"/>
  <c r="H20"/>
  <c r="H20" i="12"/>
  <c r="H22" i="10"/>
  <c r="F22" i="12"/>
  <c r="F28" s="1"/>
  <c r="F12" i="10"/>
  <c r="H12" i="11"/>
  <c r="D13" i="10"/>
  <c r="H13" i="11"/>
  <c r="D16" i="12"/>
  <c r="H16" i="10"/>
  <c r="D19"/>
  <c r="H19" i="11"/>
  <c r="D18" i="13"/>
  <c r="H18"/>
  <c r="H18" i="12"/>
  <c r="D15" i="10"/>
  <c r="H15" i="11"/>
  <c r="D5" i="10"/>
  <c r="H5" i="11"/>
  <c r="D10" i="12"/>
  <c r="H10" i="10"/>
  <c r="D8" i="12"/>
  <c r="D27" s="1"/>
  <c r="H8" i="10"/>
  <c r="H27" s="1"/>
  <c r="D14" i="12"/>
  <c r="H14" i="10"/>
  <c r="D7"/>
  <c r="H7" i="11"/>
  <c r="H3"/>
  <c r="H25" s="1"/>
  <c r="D3" i="10"/>
  <c r="D23" i="11"/>
  <c r="H4" i="10"/>
  <c r="D4" i="12"/>
  <c r="D17"/>
  <c r="H17" i="10"/>
  <c r="D21" i="12"/>
  <c r="H21" i="10"/>
  <c r="H9" i="11"/>
  <c r="H26" s="1"/>
  <c r="D9" i="10"/>
  <c r="D26" s="1"/>
  <c r="H23" i="9"/>
  <c r="J4" i="12"/>
  <c r="M4" i="10"/>
  <c r="J3" i="12"/>
  <c r="J23" i="10"/>
  <c r="F22" i="13"/>
  <c r="F28" s="1"/>
  <c r="H22"/>
  <c r="H22" i="12"/>
  <c r="F12"/>
  <c r="H12" i="10"/>
  <c r="F11" i="12"/>
  <c r="H11" i="10"/>
  <c r="F6" i="12"/>
  <c r="H6" i="10"/>
  <c r="F23"/>
  <c r="F3" i="12"/>
  <c r="D21" i="13"/>
  <c r="H21"/>
  <c r="H21" i="12"/>
  <c r="D17" i="13"/>
  <c r="H17"/>
  <c r="H17" i="12"/>
  <c r="D3"/>
  <c r="H3" i="10"/>
  <c r="D23"/>
  <c r="D9" i="12"/>
  <c r="H9" i="10"/>
  <c r="H4" i="12"/>
  <c r="D4" i="13"/>
  <c r="H4"/>
  <c r="H7" i="10"/>
  <c r="D7" i="12"/>
  <c r="H14"/>
  <c r="D14" i="13"/>
  <c r="H14"/>
  <c r="H8" i="12"/>
  <c r="H27" s="1"/>
  <c r="D8" i="13"/>
  <c r="D27" s="1"/>
  <c r="H8"/>
  <c r="H27" s="1"/>
  <c r="H10" i="12"/>
  <c r="D10" i="13"/>
  <c r="H10"/>
  <c r="H5" i="10"/>
  <c r="D5" i="12"/>
  <c r="D15"/>
  <c r="H15" i="10"/>
  <c r="D19" i="12"/>
  <c r="H19" i="10"/>
  <c r="D16" i="13"/>
  <c r="H16"/>
  <c r="H16" i="12"/>
  <c r="D13"/>
  <c r="H13" i="10"/>
  <c r="H23" i="11"/>
  <c r="J3" i="13"/>
  <c r="J23" i="12"/>
  <c r="M4"/>
  <c r="J4" i="13"/>
  <c r="M4"/>
  <c r="F23" i="12"/>
  <c r="F3" i="13"/>
  <c r="F6"/>
  <c r="F11"/>
  <c r="F12"/>
  <c r="F23"/>
  <c r="H6"/>
  <c r="H6" i="12"/>
  <c r="H11" i="13"/>
  <c r="H11" i="12"/>
  <c r="H12" i="13"/>
  <c r="H12" i="12"/>
  <c r="D13" i="13"/>
  <c r="H13"/>
  <c r="H13" i="12"/>
  <c r="D19" i="13"/>
  <c r="H19"/>
  <c r="H19" i="12"/>
  <c r="D15" i="13"/>
  <c r="H15"/>
  <c r="H15" i="12"/>
  <c r="H9"/>
  <c r="H26" s="1"/>
  <c r="D9" i="13"/>
  <c r="D26" s="1"/>
  <c r="H9"/>
  <c r="H26" s="1"/>
  <c r="D5"/>
  <c r="H5"/>
  <c r="H5" i="12"/>
  <c r="D7" i="13"/>
  <c r="H7"/>
  <c r="H7" i="12"/>
  <c r="D23"/>
  <c r="H3"/>
  <c r="D3" i="13"/>
  <c r="D25" s="1"/>
  <c r="H23" i="10"/>
  <c r="H23" i="12"/>
  <c r="J23" i="13"/>
  <c r="H3"/>
  <c r="H25" s="1"/>
  <c r="H23"/>
  <c r="D23"/>
  <c r="G23" i="6"/>
  <c r="G23" i="7"/>
  <c r="G23" i="8"/>
  <c r="G23" i="9"/>
  <c r="G27" i="13" l="1"/>
  <c r="G26"/>
  <c r="G25"/>
  <c r="G28"/>
  <c r="G26" i="12"/>
  <c r="G28"/>
  <c r="J27"/>
  <c r="J27" i="10"/>
  <c r="J27" i="11"/>
  <c r="J27" i="9"/>
  <c r="J27" i="8"/>
  <c r="J27" i="7"/>
  <c r="J27" i="6"/>
  <c r="J29" i="5"/>
  <c r="J28" i="13"/>
  <c r="J28" i="12"/>
  <c r="J28" i="10"/>
  <c r="J28" i="11"/>
  <c r="J28" i="9"/>
  <c r="J28" i="8"/>
  <c r="J28" i="7"/>
  <c r="G27" i="10"/>
  <c r="G26"/>
  <c r="G28"/>
  <c r="G28" i="11"/>
  <c r="G28" i="9"/>
  <c r="G28" i="8"/>
  <c r="G28" i="7"/>
  <c r="G28" i="6"/>
  <c r="G30" i="5"/>
  <c r="G28" i="4"/>
  <c r="G28" i="3"/>
  <c r="F30" i="5"/>
  <c r="F28" i="4"/>
  <c r="H28" i="12"/>
  <c r="H28" i="13"/>
  <c r="H28" i="10"/>
  <c r="H28" i="11"/>
  <c r="H28" i="9"/>
  <c r="H28" i="8"/>
  <c r="H28" i="7"/>
  <c r="H28" i="6"/>
  <c r="H30" i="5"/>
  <c r="H28" i="4"/>
  <c r="H28" i="3"/>
  <c r="D28" i="13"/>
  <c r="D28" i="12"/>
  <c r="D28" i="10"/>
  <c r="D28" i="11"/>
  <c r="D28" i="9"/>
  <c r="D28" i="8"/>
  <c r="D28" i="7"/>
  <c r="D28" i="6"/>
  <c r="D30" i="5"/>
  <c r="D28" i="4"/>
  <c r="H28" i="2"/>
  <c r="J26" i="7"/>
  <c r="J26" i="3"/>
  <c r="F25" i="13"/>
  <c r="F27" i="12"/>
  <c r="F27" i="10"/>
  <c r="F26" i="12"/>
  <c r="F26" i="10"/>
  <c r="H26"/>
  <c r="D26" i="12"/>
  <c r="J26"/>
  <c r="J26" i="10"/>
  <c r="G27" i="11"/>
  <c r="G26"/>
  <c r="G27" i="9"/>
  <c r="G26"/>
  <c r="J26" i="11"/>
  <c r="J26" i="9"/>
  <c r="J26" i="8"/>
  <c r="F27" i="11"/>
  <c r="F27" i="9"/>
  <c r="F27" i="8"/>
  <c r="G27"/>
  <c r="H26"/>
  <c r="D26" i="9"/>
  <c r="F26" i="11"/>
  <c r="F26" i="9"/>
  <c r="F26" i="8"/>
  <c r="G26"/>
  <c r="F27" i="7"/>
  <c r="G27"/>
  <c r="F26"/>
  <c r="G26"/>
  <c r="J26" i="6"/>
  <c r="G27"/>
  <c r="D26"/>
  <c r="F26"/>
  <c r="G26"/>
  <c r="J28" i="5"/>
  <c r="G29"/>
  <c r="H28"/>
  <c r="F28"/>
  <c r="G28"/>
  <c r="J26" i="4"/>
  <c r="G27"/>
  <c r="G26"/>
  <c r="F27" i="3"/>
  <c r="G27"/>
  <c r="D27" i="4"/>
  <c r="D27" i="3"/>
  <c r="F26"/>
  <c r="D26" i="4"/>
  <c r="H26" i="3"/>
  <c r="F26" i="4"/>
  <c r="G26" i="3"/>
  <c r="D26"/>
  <c r="J26" i="2"/>
  <c r="F27"/>
  <c r="G27"/>
  <c r="D27"/>
  <c r="F26"/>
  <c r="H26"/>
  <c r="G26"/>
  <c r="D26"/>
  <c r="F27" i="13"/>
  <c r="J27"/>
  <c r="F26"/>
  <c r="J26"/>
  <c r="G25" i="11"/>
  <c r="G25" i="7"/>
  <c r="G25" i="4"/>
  <c r="D25" i="11"/>
  <c r="D25" i="7"/>
  <c r="D25" i="4"/>
  <c r="H25"/>
</calcChain>
</file>

<file path=xl/sharedStrings.xml><?xml version="1.0" encoding="utf-8"?>
<sst xmlns="http://schemas.openxmlformats.org/spreadsheetml/2006/main" count="243" uniqueCount="45">
  <si>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</si>
  <si>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</si>
  <si>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</si>
  <si>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</si>
  <si>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</si>
  <si>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</si>
  <si>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</si>
  <si>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</si>
  <si>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</si>
  <si>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</si>
  <si>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</si>
  <si>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</si>
  <si>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</si>
  <si>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Отопление</t>
  </si>
  <si>
    <t xml:space="preserve">Содер общ им </t>
  </si>
  <si>
    <t>Горячее водоснабжение</t>
  </si>
  <si>
    <t>Газ</t>
  </si>
  <si>
    <t>Холодная вода</t>
  </si>
  <si>
    <t>Энгельса д.54</t>
  </si>
  <si>
    <t>Энгельса д. 54</t>
  </si>
  <si>
    <t>Энгельса 54</t>
  </si>
  <si>
    <t>Содержание общ.имущ.дома</t>
  </si>
  <si>
    <t>Уборка и сан.очистка зем.уч.</t>
  </si>
  <si>
    <t>Электроснабжение(инд.потр)</t>
  </si>
  <si>
    <t>Канализирование х.воды</t>
  </si>
  <si>
    <t>Канализирование г.воды</t>
  </si>
  <si>
    <t>Тек.рем.общ.имущ.дома</t>
  </si>
  <si>
    <t>Сод.и тек.рем.в/дом.газосн</t>
  </si>
  <si>
    <t>Управление многокв.домом</t>
  </si>
  <si>
    <t>Водоотведение(кв)</t>
  </si>
  <si>
    <t>Эксплуатация общед.ПУ</t>
  </si>
  <si>
    <t>Водоотведение(о/д нужды)</t>
  </si>
  <si>
    <t>Отопление(о/д нужды)</t>
  </si>
  <si>
    <t>Электроснабжение(общед.нужды)</t>
  </si>
  <si>
    <t>Хол. водоснаб(о/д нужды)</t>
  </si>
  <si>
    <t>форма 22</t>
  </si>
  <si>
    <t>Капитальный ремонт</t>
  </si>
  <si>
    <t>водоканал</t>
  </si>
  <si>
    <t>ПСК</t>
  </si>
  <si>
    <t>ГУПТЭК</t>
  </si>
  <si>
    <t>Гор. Водоснабж. (о/д нужды)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</si>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</sst>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_ ;[Red]\-0.00\ "/>
  </numFmts>
  <fonts count="7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wrapText="1" shrinkToFi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shrinkToFit="1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 shrinkToFit="1"/>
    </xf>
    <xf numFmtId="0" fontId="2" fillId="2" borderId="1" xfId="0" applyFont="1" applyFill="1" applyBorder="1" applyAlignment="1">
      <alignment wrapText="1" shrinkToFit="1"/>
    </xf>
    <xf numFmtId="0" fontId="0" fillId="2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shrinkToFi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 shrinkToFit="1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wrapText="1" shrinkToFi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wrapText="1" shrinkToFit="1"/>
    </xf>
    <xf numFmtId="0" fontId="4" fillId="2" borderId="1" xfId="0" applyFont="1" applyFill="1" applyBorder="1" applyAlignment="1">
      <alignment wrapText="1" shrinkToFit="1"/>
    </xf>
    <xf numFmtId="0" fontId="4" fillId="0" borderId="0" xfId="0" applyFont="1" applyAlignment="1">
      <alignment wrapText="1"/>
    </xf>
    <xf numFmtId="0" fontId="4" fillId="0" borderId="1" xfId="0" applyFont="1" applyBorder="1"/>
    <xf numFmtId="2" fontId="4" fillId="2" borderId="1" xfId="0" applyNumberFormat="1" applyFont="1" applyFill="1" applyBorder="1" applyAlignment="1">
      <alignment horizontal="left" wrapText="1" shrinkToFit="1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4" fillId="2" borderId="1" xfId="0" applyNumberFormat="1" applyFont="1" applyFill="1" applyBorder="1"/>
    <xf numFmtId="164" fontId="4" fillId="0" borderId="0" xfId="0" applyNumberFormat="1" applyFont="1"/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43" fontId="0" fillId="0" borderId="0" xfId="1" applyFont="1"/>
    <xf numFmtId="43" fontId="2" fillId="0" borderId="0" xfId="1" applyFo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43" fontId="0" fillId="2" borderId="1" xfId="1" applyFont="1" applyFill="1" applyBorder="1" applyAlignment="1">
      <alignment horizontal="center"/>
    </xf>
    <xf numFmtId="43" fontId="0" fillId="2" borderId="1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opLeftCell="B1" workbookViewId="0">
      <selection activeCell="E35" sqref="E35"/>
    </sheetView>
  </sheetViews>
  <sheetFormatPr defaultRowHeight="12.75"/>
  <cols>
    <col min="1" max="1" width="5.7109375" customWidth="1"/>
    <col min="2" max="2" width="30.85546875" customWidth="1"/>
    <col min="3" max="3" width="10.85546875" customWidth="1"/>
    <col min="4" max="4" width="12" customWidth="1"/>
    <col min="5" max="5" width="10.28515625" customWidth="1"/>
    <col min="6" max="6" width="10.42578125" customWidth="1"/>
    <col min="7" max="7" width="10.85546875" customWidth="1"/>
    <col min="8" max="8" width="11.140625" customWidth="1"/>
    <col min="9" max="9" width="10.140625" bestFit="1" customWidth="1"/>
    <col min="10" max="10" width="10.5703125" customWidth="1"/>
    <col min="11" max="11" width="10.7109375" customWidth="1"/>
    <col min="12" max="12" width="11.42578125" customWidth="1"/>
    <col min="13" max="13" width="11" customWidth="1"/>
  </cols>
  <sheetData>
    <row r="2" spans="1:13" s="30" customFormat="1" ht="38.2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>
      <c r="A3" s="1">
        <v>1</v>
      </c>
      <c r="B3" s="38" t="s">
        <v>21</v>
      </c>
      <c r="C3" s="8">
        <v>18955.150000000001</v>
      </c>
      <c r="D3" s="37">
        <f>C3</f>
        <v>18955.150000000001</v>
      </c>
      <c r="E3" s="9">
        <v>20579.88</v>
      </c>
      <c r="F3" s="37">
        <f>E3</f>
        <v>20579.88</v>
      </c>
      <c r="G3" s="19">
        <f>E3-C3</f>
        <v>1624.7299999999996</v>
      </c>
      <c r="H3" s="20">
        <f>F3-D3</f>
        <v>1624.7299999999996</v>
      </c>
      <c r="I3" s="9"/>
      <c r="J3" s="20">
        <f>I3</f>
        <v>0</v>
      </c>
      <c r="K3" s="8"/>
      <c r="L3" s="37">
        <f>K3</f>
        <v>0</v>
      </c>
    </row>
    <row r="4" spans="1:13">
      <c r="A4" s="1">
        <f>A3+1</f>
        <v>2</v>
      </c>
      <c r="B4" s="38" t="s">
        <v>13</v>
      </c>
      <c r="C4" s="8">
        <v>78533.89</v>
      </c>
      <c r="D4" s="37">
        <f t="shared" ref="D4:D22" si="0">C4</f>
        <v>78533.89</v>
      </c>
      <c r="E4" s="9">
        <v>66095.429999999993</v>
      </c>
      <c r="F4" s="37">
        <f t="shared" ref="F4:F22" si="1">E4</f>
        <v>66095.429999999993</v>
      </c>
      <c r="G4" s="19">
        <f t="shared" ref="G4:G22" si="2">E4-C4</f>
        <v>-12438.460000000006</v>
      </c>
      <c r="H4" s="20">
        <f t="shared" ref="H4:H22" si="3">F4-D4</f>
        <v>-12438.460000000006</v>
      </c>
      <c r="I4" s="9"/>
      <c r="J4" s="20">
        <f t="shared" ref="J4:J22" si="4">I4</f>
        <v>0</v>
      </c>
      <c r="K4" s="8"/>
      <c r="L4" s="37">
        <f t="shared" ref="L4:L22" si="5">K4</f>
        <v>0</v>
      </c>
      <c r="M4" s="12">
        <f>L4-J4</f>
        <v>0</v>
      </c>
    </row>
    <row r="5" spans="1:13">
      <c r="A5" s="1">
        <f t="shared" ref="A5:A22" si="6">A4+1</f>
        <v>3</v>
      </c>
      <c r="B5" s="38" t="s">
        <v>15</v>
      </c>
      <c r="C5" s="8">
        <v>18155.95</v>
      </c>
      <c r="D5" s="37">
        <f t="shared" si="0"/>
        <v>18155.95</v>
      </c>
      <c r="E5" s="9">
        <v>15946.72</v>
      </c>
      <c r="F5" s="37">
        <f t="shared" si="1"/>
        <v>15946.72</v>
      </c>
      <c r="G5" s="19">
        <f t="shared" si="2"/>
        <v>-2209.2300000000014</v>
      </c>
      <c r="H5" s="20">
        <f t="shared" si="3"/>
        <v>-2209.2300000000014</v>
      </c>
      <c r="I5" s="9"/>
      <c r="J5" s="20">
        <f t="shared" si="4"/>
        <v>0</v>
      </c>
      <c r="K5" s="8"/>
      <c r="L5" s="37">
        <f t="shared" si="5"/>
        <v>0</v>
      </c>
    </row>
    <row r="6" spans="1:13">
      <c r="A6" s="1">
        <f t="shared" si="6"/>
        <v>4</v>
      </c>
      <c r="B6" s="38" t="s">
        <v>16</v>
      </c>
      <c r="C6" s="8">
        <v>0</v>
      </c>
      <c r="D6" s="37">
        <f t="shared" si="0"/>
        <v>0</v>
      </c>
      <c r="E6" s="9">
        <v>0</v>
      </c>
      <c r="F6" s="37">
        <f t="shared" si="1"/>
        <v>0</v>
      </c>
      <c r="G6" s="19">
        <f t="shared" si="2"/>
        <v>0</v>
      </c>
      <c r="H6" s="20">
        <f t="shared" si="3"/>
        <v>0</v>
      </c>
      <c r="I6" s="9"/>
      <c r="J6" s="20">
        <f t="shared" si="4"/>
        <v>0</v>
      </c>
      <c r="K6" s="8"/>
      <c r="L6" s="37">
        <f t="shared" si="5"/>
        <v>0</v>
      </c>
    </row>
    <row r="7" spans="1:13">
      <c r="A7" s="1">
        <f t="shared" si="6"/>
        <v>5</v>
      </c>
      <c r="B7" s="38" t="s">
        <v>22</v>
      </c>
      <c r="C7" s="8">
        <v>2600.36</v>
      </c>
      <c r="D7" s="37">
        <f t="shared" si="0"/>
        <v>2600.36</v>
      </c>
      <c r="E7" s="9">
        <v>2896.14</v>
      </c>
      <c r="F7" s="37">
        <f t="shared" si="1"/>
        <v>2896.14</v>
      </c>
      <c r="G7" s="19">
        <f t="shared" si="2"/>
        <v>295.77999999999975</v>
      </c>
      <c r="H7" s="20">
        <f t="shared" si="3"/>
        <v>295.77999999999975</v>
      </c>
      <c r="I7" s="9"/>
      <c r="J7" s="20">
        <f t="shared" si="4"/>
        <v>0</v>
      </c>
      <c r="K7" s="8"/>
      <c r="L7" s="37">
        <f t="shared" si="5"/>
        <v>0</v>
      </c>
    </row>
    <row r="8" spans="1:13" ht="15.75" customHeight="1">
      <c r="A8" s="1">
        <f t="shared" si="6"/>
        <v>6</v>
      </c>
      <c r="B8" s="38" t="s">
        <v>23</v>
      </c>
      <c r="C8" s="8">
        <v>23202.799999999999</v>
      </c>
      <c r="D8" s="37">
        <f t="shared" si="0"/>
        <v>23202.799999999999</v>
      </c>
      <c r="E8" s="9">
        <v>27404.18</v>
      </c>
      <c r="F8" s="37">
        <f t="shared" si="1"/>
        <v>27404.18</v>
      </c>
      <c r="G8" s="19">
        <f t="shared" si="2"/>
        <v>4201.380000000001</v>
      </c>
      <c r="H8" s="20">
        <f t="shared" si="3"/>
        <v>4201.380000000001</v>
      </c>
      <c r="I8" s="9"/>
      <c r="J8" s="20">
        <f t="shared" si="4"/>
        <v>0</v>
      </c>
      <c r="K8" s="8"/>
      <c r="L8" s="37">
        <f t="shared" si="5"/>
        <v>0</v>
      </c>
    </row>
    <row r="9" spans="1:13">
      <c r="A9" s="1">
        <f t="shared" si="6"/>
        <v>7</v>
      </c>
      <c r="B9" s="38" t="s">
        <v>17</v>
      </c>
      <c r="C9" s="8">
        <v>5510.91</v>
      </c>
      <c r="D9" s="37">
        <f t="shared" si="0"/>
        <v>5510.91</v>
      </c>
      <c r="E9" s="9">
        <v>5669.95</v>
      </c>
      <c r="F9" s="37">
        <f t="shared" si="1"/>
        <v>5669.95</v>
      </c>
      <c r="G9" s="19">
        <f t="shared" si="2"/>
        <v>159.03999999999996</v>
      </c>
      <c r="H9" s="20">
        <f t="shared" si="3"/>
        <v>159.03999999999996</v>
      </c>
      <c r="I9" s="9"/>
      <c r="J9" s="20">
        <f t="shared" si="4"/>
        <v>0</v>
      </c>
      <c r="K9" s="8"/>
      <c r="L9" s="37">
        <f t="shared" si="5"/>
        <v>0</v>
      </c>
    </row>
    <row r="10" spans="1:13">
      <c r="A10" s="1">
        <f t="shared" si="6"/>
        <v>8</v>
      </c>
      <c r="B10" s="38" t="s">
        <v>24</v>
      </c>
      <c r="C10" s="8">
        <v>0</v>
      </c>
      <c r="D10" s="37">
        <f t="shared" si="0"/>
        <v>0</v>
      </c>
      <c r="E10" s="9">
        <v>0</v>
      </c>
      <c r="F10" s="37">
        <f t="shared" si="1"/>
        <v>0</v>
      </c>
      <c r="G10" s="19">
        <f t="shared" si="2"/>
        <v>0</v>
      </c>
      <c r="H10" s="20">
        <f t="shared" si="3"/>
        <v>0</v>
      </c>
      <c r="I10" s="9"/>
      <c r="J10" s="20">
        <f t="shared" si="4"/>
        <v>0</v>
      </c>
      <c r="K10" s="8"/>
      <c r="L10" s="37">
        <f t="shared" si="5"/>
        <v>0</v>
      </c>
    </row>
    <row r="11" spans="1:13">
      <c r="A11" s="1">
        <f t="shared" si="6"/>
        <v>9</v>
      </c>
      <c r="B11" s="38" t="s">
        <v>25</v>
      </c>
      <c r="C11" s="8">
        <v>0</v>
      </c>
      <c r="D11" s="37">
        <f t="shared" si="0"/>
        <v>0</v>
      </c>
      <c r="E11" s="9">
        <v>0</v>
      </c>
      <c r="F11" s="37">
        <f t="shared" si="1"/>
        <v>0</v>
      </c>
      <c r="G11" s="19">
        <f t="shared" si="2"/>
        <v>0</v>
      </c>
      <c r="H11" s="20">
        <f t="shared" si="3"/>
        <v>0</v>
      </c>
      <c r="I11" s="9"/>
      <c r="J11" s="20">
        <f t="shared" si="4"/>
        <v>0</v>
      </c>
      <c r="K11" s="8"/>
      <c r="L11" s="37">
        <f t="shared" si="5"/>
        <v>0</v>
      </c>
    </row>
    <row r="12" spans="1:13">
      <c r="A12" s="1">
        <f t="shared" si="6"/>
        <v>10</v>
      </c>
      <c r="B12" s="38" t="s">
        <v>26</v>
      </c>
      <c r="C12" s="8">
        <v>9990.77</v>
      </c>
      <c r="D12" s="37">
        <f t="shared" si="0"/>
        <v>9990.77</v>
      </c>
      <c r="E12" s="9">
        <v>12158.74</v>
      </c>
      <c r="F12" s="37">
        <f t="shared" si="1"/>
        <v>12158.74</v>
      </c>
      <c r="G12" s="19">
        <f t="shared" si="2"/>
        <v>2167.9699999999993</v>
      </c>
      <c r="H12" s="20">
        <f t="shared" si="3"/>
        <v>2167.9699999999993</v>
      </c>
      <c r="I12" s="9"/>
      <c r="J12" s="20">
        <f t="shared" si="4"/>
        <v>0</v>
      </c>
      <c r="K12" s="8"/>
      <c r="L12" s="37">
        <f t="shared" si="5"/>
        <v>0</v>
      </c>
    </row>
    <row r="13" spans="1:13">
      <c r="A13" s="1">
        <f t="shared" si="6"/>
        <v>11</v>
      </c>
      <c r="B13" s="38" t="s">
        <v>27</v>
      </c>
      <c r="C13" s="8">
        <v>1086.71</v>
      </c>
      <c r="D13" s="37">
        <f t="shared" si="0"/>
        <v>1086.71</v>
      </c>
      <c r="E13" s="9">
        <v>1201.4100000000001</v>
      </c>
      <c r="F13" s="37">
        <f t="shared" si="1"/>
        <v>1201.4100000000001</v>
      </c>
      <c r="G13" s="19">
        <f t="shared" si="2"/>
        <v>114.70000000000005</v>
      </c>
      <c r="H13" s="20">
        <f t="shared" si="3"/>
        <v>114.70000000000005</v>
      </c>
      <c r="I13" s="9"/>
      <c r="J13" s="20">
        <f t="shared" si="4"/>
        <v>0</v>
      </c>
      <c r="K13" s="8"/>
      <c r="L13" s="37">
        <f t="shared" si="5"/>
        <v>0</v>
      </c>
    </row>
    <row r="14" spans="1:13">
      <c r="A14" s="1">
        <f t="shared" si="6"/>
        <v>12</v>
      </c>
      <c r="B14" s="38" t="s">
        <v>28</v>
      </c>
      <c r="C14" s="8">
        <v>3917.64</v>
      </c>
      <c r="D14" s="37">
        <f t="shared" si="0"/>
        <v>3917.64</v>
      </c>
      <c r="E14" s="9">
        <v>4297.4399999999996</v>
      </c>
      <c r="F14" s="37">
        <f t="shared" si="1"/>
        <v>4297.4399999999996</v>
      </c>
      <c r="G14" s="19">
        <f t="shared" si="2"/>
        <v>379.79999999999973</v>
      </c>
      <c r="H14" s="20">
        <f t="shared" si="3"/>
        <v>379.79999999999973</v>
      </c>
      <c r="I14" s="9"/>
      <c r="J14" s="20">
        <f t="shared" si="4"/>
        <v>0</v>
      </c>
      <c r="K14" s="8"/>
      <c r="L14" s="37">
        <f t="shared" si="5"/>
        <v>0</v>
      </c>
    </row>
    <row r="15" spans="1:13">
      <c r="A15" s="1">
        <f t="shared" si="6"/>
        <v>13</v>
      </c>
      <c r="B15" s="38" t="s">
        <v>29</v>
      </c>
      <c r="C15" s="8">
        <v>10267.41</v>
      </c>
      <c r="D15" s="37">
        <f t="shared" si="0"/>
        <v>10267.41</v>
      </c>
      <c r="E15" s="9">
        <v>9995.9</v>
      </c>
      <c r="F15" s="37">
        <f t="shared" si="1"/>
        <v>9995.9</v>
      </c>
      <c r="G15" s="19">
        <f t="shared" si="2"/>
        <v>-271.51000000000022</v>
      </c>
      <c r="H15" s="20">
        <f t="shared" si="3"/>
        <v>-271.51000000000022</v>
      </c>
      <c r="I15" s="9"/>
      <c r="J15" s="20">
        <f t="shared" si="4"/>
        <v>0</v>
      </c>
      <c r="K15" s="8"/>
      <c r="L15" s="37">
        <f t="shared" si="5"/>
        <v>0</v>
      </c>
    </row>
    <row r="16" spans="1:13">
      <c r="A16" s="1">
        <f t="shared" si="6"/>
        <v>14</v>
      </c>
      <c r="B16" s="38" t="s">
        <v>30</v>
      </c>
      <c r="C16" s="8">
        <v>1060.6300000000001</v>
      </c>
      <c r="D16" s="37">
        <f t="shared" si="0"/>
        <v>1060.6300000000001</v>
      </c>
      <c r="E16" s="9">
        <v>1182.3699999999999</v>
      </c>
      <c r="F16" s="37">
        <f t="shared" si="1"/>
        <v>1182.3699999999999</v>
      </c>
      <c r="G16" s="19">
        <f t="shared" si="2"/>
        <v>121.73999999999978</v>
      </c>
      <c r="H16" s="20">
        <f t="shared" si="3"/>
        <v>121.73999999999978</v>
      </c>
      <c r="I16" s="9"/>
      <c r="J16" s="20">
        <f t="shared" si="4"/>
        <v>0</v>
      </c>
      <c r="K16" s="8"/>
      <c r="L16" s="37">
        <f t="shared" si="5"/>
        <v>0</v>
      </c>
    </row>
    <row r="17" spans="1:12">
      <c r="A17" s="1">
        <f t="shared" si="6"/>
        <v>15</v>
      </c>
      <c r="B17" s="38" t="s">
        <v>34</v>
      </c>
      <c r="C17" s="8">
        <v>305.22000000000003</v>
      </c>
      <c r="D17" s="37">
        <f t="shared" si="0"/>
        <v>305.22000000000003</v>
      </c>
      <c r="E17" s="9">
        <v>1241.51</v>
      </c>
      <c r="F17" s="37">
        <f t="shared" si="1"/>
        <v>1241.51</v>
      </c>
      <c r="G17" s="19">
        <f t="shared" si="2"/>
        <v>936.29</v>
      </c>
      <c r="H17" s="20">
        <f t="shared" si="3"/>
        <v>936.29</v>
      </c>
      <c r="I17" s="9"/>
      <c r="J17" s="20">
        <f t="shared" si="4"/>
        <v>0</v>
      </c>
      <c r="K17" s="8"/>
      <c r="L17" s="37">
        <f t="shared" si="5"/>
        <v>0</v>
      </c>
    </row>
    <row r="18" spans="1:12">
      <c r="A18" s="1">
        <f t="shared" si="6"/>
        <v>16</v>
      </c>
      <c r="B18" s="38" t="s">
        <v>31</v>
      </c>
      <c r="C18" s="8">
        <v>0</v>
      </c>
      <c r="D18" s="37">
        <f t="shared" si="0"/>
        <v>0</v>
      </c>
      <c r="E18" s="9">
        <v>0</v>
      </c>
      <c r="F18" s="37">
        <f t="shared" si="1"/>
        <v>0</v>
      </c>
      <c r="G18" s="19">
        <f t="shared" si="2"/>
        <v>0</v>
      </c>
      <c r="H18" s="20">
        <f t="shared" si="3"/>
        <v>0</v>
      </c>
      <c r="I18" s="9"/>
      <c r="J18" s="20">
        <f t="shared" si="4"/>
        <v>0</v>
      </c>
      <c r="K18" s="8"/>
      <c r="L18" s="37">
        <f t="shared" si="5"/>
        <v>0</v>
      </c>
    </row>
    <row r="19" spans="1:12">
      <c r="A19" s="1">
        <f t="shared" si="6"/>
        <v>17</v>
      </c>
      <c r="B19" s="38" t="s">
        <v>32</v>
      </c>
      <c r="C19" s="8">
        <v>0</v>
      </c>
      <c r="D19" s="37">
        <f t="shared" si="0"/>
        <v>0</v>
      </c>
      <c r="E19" s="9">
        <v>0</v>
      </c>
      <c r="F19" s="37">
        <f t="shared" si="1"/>
        <v>0</v>
      </c>
      <c r="G19" s="19">
        <f t="shared" si="2"/>
        <v>0</v>
      </c>
      <c r="H19" s="20">
        <f t="shared" si="3"/>
        <v>0</v>
      </c>
      <c r="I19" s="9"/>
      <c r="J19" s="20">
        <f t="shared" si="4"/>
        <v>0</v>
      </c>
      <c r="K19" s="8"/>
      <c r="L19" s="37">
        <f t="shared" si="5"/>
        <v>0</v>
      </c>
    </row>
    <row r="20" spans="1:12" ht="16.5" customHeight="1">
      <c r="A20" s="1">
        <f t="shared" si="6"/>
        <v>18</v>
      </c>
      <c r="B20" s="39" t="s">
        <v>33</v>
      </c>
      <c r="C20" s="8">
        <v>934.36</v>
      </c>
      <c r="D20" s="37">
        <f t="shared" si="0"/>
        <v>934.36</v>
      </c>
      <c r="E20" s="9">
        <v>10700.75</v>
      </c>
      <c r="F20" s="37">
        <f t="shared" si="1"/>
        <v>10700.75</v>
      </c>
      <c r="G20" s="19">
        <f t="shared" si="2"/>
        <v>9766.39</v>
      </c>
      <c r="H20" s="20">
        <f t="shared" si="3"/>
        <v>9766.39</v>
      </c>
      <c r="I20" s="9"/>
      <c r="J20" s="20">
        <f t="shared" si="4"/>
        <v>0</v>
      </c>
      <c r="K20" s="8"/>
      <c r="L20" s="37">
        <f t="shared" si="5"/>
        <v>0</v>
      </c>
    </row>
    <row r="21" spans="1:12">
      <c r="A21" s="1">
        <f t="shared" si="6"/>
        <v>19</v>
      </c>
      <c r="B21" s="18" t="s">
        <v>36</v>
      </c>
      <c r="C21" s="8">
        <v>0</v>
      </c>
      <c r="D21" s="37">
        <f t="shared" si="0"/>
        <v>0</v>
      </c>
      <c r="E21" s="9">
        <v>0</v>
      </c>
      <c r="F21" s="37">
        <f t="shared" si="1"/>
        <v>0</v>
      </c>
      <c r="G21" s="19">
        <f t="shared" si="2"/>
        <v>0</v>
      </c>
      <c r="H21" s="20">
        <f t="shared" si="3"/>
        <v>0</v>
      </c>
      <c r="I21" s="9"/>
      <c r="J21" s="20">
        <f t="shared" si="4"/>
        <v>0</v>
      </c>
      <c r="K21" s="8"/>
      <c r="L21" s="37">
        <f t="shared" si="5"/>
        <v>0</v>
      </c>
    </row>
    <row r="22" spans="1:12">
      <c r="A22" s="1">
        <f t="shared" si="6"/>
        <v>20</v>
      </c>
      <c r="B22" s="18" t="s">
        <v>40</v>
      </c>
      <c r="C22" s="8">
        <v>715.24</v>
      </c>
      <c r="D22" s="37">
        <f t="shared" si="0"/>
        <v>715.24</v>
      </c>
      <c r="E22" s="9">
        <v>6441.54</v>
      </c>
      <c r="F22" s="37">
        <f t="shared" si="1"/>
        <v>6441.54</v>
      </c>
      <c r="G22" s="19">
        <f t="shared" si="2"/>
        <v>5726.3</v>
      </c>
      <c r="H22" s="20">
        <f t="shared" si="3"/>
        <v>5726.3</v>
      </c>
      <c r="I22" s="9"/>
      <c r="J22" s="20">
        <f t="shared" si="4"/>
        <v>0</v>
      </c>
      <c r="K22" s="8"/>
      <c r="L22" s="37">
        <f t="shared" si="5"/>
        <v>0</v>
      </c>
    </row>
    <row r="23" spans="1:12">
      <c r="A23" s="17"/>
      <c r="B23" s="33" t="s">
        <v>12</v>
      </c>
      <c r="C23" s="31">
        <f t="shared" ref="C23:L23" si="7">SUM(C3:C22)</f>
        <v>175237.03999999998</v>
      </c>
      <c r="D23" s="31">
        <f t="shared" si="7"/>
        <v>175237.03999999998</v>
      </c>
      <c r="E23" s="32">
        <f t="shared" si="7"/>
        <v>185811.96000000002</v>
      </c>
      <c r="F23" s="31">
        <f t="shared" si="7"/>
        <v>185811.96000000002</v>
      </c>
      <c r="G23" s="31">
        <f t="shared" si="7"/>
        <v>10574.919999999993</v>
      </c>
      <c r="H23" s="32">
        <f t="shared" si="7"/>
        <v>10574.919999999993</v>
      </c>
      <c r="I23" s="32">
        <f t="shared" si="7"/>
        <v>0</v>
      </c>
      <c r="J23" s="32">
        <f t="shared" si="7"/>
        <v>0</v>
      </c>
      <c r="K23" s="31">
        <f t="shared" si="7"/>
        <v>0</v>
      </c>
      <c r="L23" s="31">
        <f t="shared" si="7"/>
        <v>0</v>
      </c>
    </row>
    <row r="26" spans="1:12">
      <c r="B26" s="42" t="s">
        <v>37</v>
      </c>
      <c r="C26" s="43">
        <f>C9+C10+C11+C15+C17+C18</f>
        <v>16083.539999999999</v>
      </c>
      <c r="D26" s="43">
        <f t="shared" ref="D26:J26" si="8">D9+D10+D11+D15+D17+D18</f>
        <v>16083.539999999999</v>
      </c>
      <c r="E26" s="43">
        <f t="shared" si="8"/>
        <v>16907.359999999997</v>
      </c>
      <c r="F26" s="43">
        <f t="shared" si="8"/>
        <v>16907.359999999997</v>
      </c>
      <c r="G26" s="43">
        <f t="shared" si="8"/>
        <v>823.81999999999971</v>
      </c>
      <c r="H26" s="43">
        <f t="shared" si="8"/>
        <v>823.81999999999971</v>
      </c>
      <c r="I26" s="43">
        <f t="shared" si="8"/>
        <v>0</v>
      </c>
      <c r="J26" s="43">
        <f t="shared" si="8"/>
        <v>0</v>
      </c>
    </row>
    <row r="27" spans="1:12">
      <c r="B27" s="42" t="s">
        <v>38</v>
      </c>
      <c r="C27" s="43">
        <f>C8+C20</f>
        <v>24137.16</v>
      </c>
      <c r="D27" s="43">
        <f t="shared" ref="D27:J27" si="9">D8+D20</f>
        <v>24137.16</v>
      </c>
      <c r="E27" s="43">
        <f t="shared" si="9"/>
        <v>38104.93</v>
      </c>
      <c r="F27" s="43">
        <f t="shared" si="9"/>
        <v>38104.93</v>
      </c>
      <c r="G27" s="43">
        <f t="shared" si="9"/>
        <v>13967.77</v>
      </c>
      <c r="H27" s="43">
        <f t="shared" si="9"/>
        <v>13967.77</v>
      </c>
      <c r="I27" s="43">
        <f t="shared" si="9"/>
        <v>0</v>
      </c>
      <c r="J27" s="43">
        <f t="shared" si="9"/>
        <v>0</v>
      </c>
    </row>
    <row r="28" spans="1:12">
      <c r="B28" s="42" t="s">
        <v>39</v>
      </c>
      <c r="C28" s="43">
        <f>C4+C5+C19+C22</f>
        <v>97405.08</v>
      </c>
      <c r="D28" s="43">
        <f t="shared" ref="D28:J28" si="10">D4+D5+D19+D22</f>
        <v>97405.08</v>
      </c>
      <c r="E28" s="43">
        <f t="shared" si="10"/>
        <v>88483.689999999988</v>
      </c>
      <c r="F28" s="43">
        <f t="shared" si="10"/>
        <v>88483.689999999988</v>
      </c>
      <c r="G28" s="43">
        <f t="shared" si="10"/>
        <v>-8921.3900000000067</v>
      </c>
      <c r="H28" s="43">
        <f t="shared" si="10"/>
        <v>-8921.3900000000067</v>
      </c>
      <c r="I28" s="43">
        <f t="shared" si="10"/>
        <v>0</v>
      </c>
      <c r="J28" s="43">
        <f t="shared" si="10"/>
        <v>0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C10" sqref="C10:C11"/>
    </sheetView>
  </sheetViews>
  <sheetFormatPr defaultRowHeight="12.75"/>
  <cols>
    <col min="1" max="1" width="4.140625" customWidth="1"/>
    <col min="2" max="2" width="30.42578125" customWidth="1"/>
    <col min="3" max="3" width="10.5703125" customWidth="1"/>
    <col min="4" max="4" width="14" customWidth="1"/>
    <col min="5" max="5" width="13.5703125" customWidth="1"/>
    <col min="6" max="6" width="12.28515625" customWidth="1"/>
    <col min="7" max="7" width="9.7109375" bestFit="1" customWidth="1"/>
    <col min="8" max="8" width="15" customWidth="1"/>
    <col min="9" max="9" width="11.7109375" customWidth="1"/>
    <col min="10" max="11" width="11.28515625" customWidth="1"/>
    <col min="12" max="12" width="13.42578125" customWidth="1"/>
    <col min="13" max="13" width="10.140625" bestFit="1" customWidth="1"/>
  </cols>
  <sheetData>
    <row r="1" spans="1:13">
      <c r="B1" s="11" t="s">
        <v>18</v>
      </c>
      <c r="C1" s="11" t="s">
        <v>42</v>
      </c>
    </row>
    <row r="2" spans="1:13" s="30" customFormat="1" ht="25.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 ht="14.1" customHeight="1">
      <c r="A3" s="1">
        <v>1</v>
      </c>
      <c r="B3" s="40" t="str">
        <f>сентябрь!B3</f>
        <v>Содержание общ.имущ.дома</v>
      </c>
      <c r="C3" s="8">
        <f>16264.19+4093.72</f>
        <v>20357.91</v>
      </c>
      <c r="D3" s="19">
        <f>C3+сентябрь!D3</f>
        <v>172395.74000000002</v>
      </c>
      <c r="E3" s="8">
        <f>17004.52+3887.83</f>
        <v>20892.349999999999</v>
      </c>
      <c r="F3" s="19">
        <f>E3+сентябрь!F3</f>
        <v>180956.89</v>
      </c>
      <c r="G3" s="19">
        <f>E3-C3</f>
        <v>534.43999999999869</v>
      </c>
      <c r="H3" s="20">
        <f>F3-D3</f>
        <v>8561.1499999999942</v>
      </c>
      <c r="I3" s="9"/>
      <c r="J3" s="20">
        <f>I3+сентябрь!J3</f>
        <v>0</v>
      </c>
      <c r="K3" s="8"/>
      <c r="L3" s="19">
        <f>K3+сентябрь!L3</f>
        <v>0</v>
      </c>
    </row>
    <row r="4" spans="1:13" ht="14.1" customHeight="1">
      <c r="A4" s="1">
        <f>A3+1</f>
        <v>2</v>
      </c>
      <c r="B4" s="40" t="str">
        <f>сентябрь!B4</f>
        <v>Отопление</v>
      </c>
      <c r="C4" s="8">
        <f>34455.02+8672.36</f>
        <v>43127.38</v>
      </c>
      <c r="D4" s="19">
        <f>C4+сентябрь!D4</f>
        <v>267056.62</v>
      </c>
      <c r="E4" s="8">
        <f>246.72+942.21</f>
        <v>1188.93</v>
      </c>
      <c r="F4" s="19">
        <f>E4+сентябрь!F4</f>
        <v>742278.61</v>
      </c>
      <c r="G4" s="19">
        <f t="shared" ref="G4:H22" si="0">E4-C4</f>
        <v>-41938.449999999997</v>
      </c>
      <c r="H4" s="20">
        <f t="shared" si="0"/>
        <v>475221.99</v>
      </c>
      <c r="I4" s="9"/>
      <c r="J4" s="20">
        <f>I4+сентябрь!J4</f>
        <v>0</v>
      </c>
      <c r="K4" s="8"/>
      <c r="L4" s="19">
        <f>K4+сентябрь!L4</f>
        <v>0</v>
      </c>
      <c r="M4" s="12">
        <f>L4-J4</f>
        <v>0</v>
      </c>
    </row>
    <row r="5" spans="1:13" ht="14.1" customHeight="1">
      <c r="A5" s="1">
        <f t="shared" ref="A5:A22" si="1">A4+1</f>
        <v>3</v>
      </c>
      <c r="B5" s="40" t="str">
        <f>сентябрь!B5</f>
        <v>Горячее водоснабжение</v>
      </c>
      <c r="C5" s="8">
        <f>10957.41+3093.13+243.83</f>
        <v>14294.37</v>
      </c>
      <c r="D5" s="19">
        <f>C5+сентябрь!D5</f>
        <v>135556.78</v>
      </c>
      <c r="E5" s="8">
        <f>11793.36+3282.98+243.83</f>
        <v>15320.17</v>
      </c>
      <c r="F5" s="19">
        <f>E5+сентябрь!F5</f>
        <v>158188.01</v>
      </c>
      <c r="G5" s="19">
        <f t="shared" si="0"/>
        <v>1025.7999999999993</v>
      </c>
      <c r="H5" s="20">
        <f t="shared" si="0"/>
        <v>22631.23000000001</v>
      </c>
      <c r="I5" s="9"/>
      <c r="J5" s="20">
        <f>I5+сентябрь!J5</f>
        <v>0</v>
      </c>
      <c r="K5" s="8"/>
      <c r="L5" s="19">
        <f>K5+сентябрь!L5</f>
        <v>0</v>
      </c>
    </row>
    <row r="6" spans="1:13" ht="14.1" customHeight="1">
      <c r="A6" s="1">
        <f t="shared" si="1"/>
        <v>4</v>
      </c>
      <c r="B6" s="40" t="str">
        <f>сентябрь!B6</f>
        <v>Газ</v>
      </c>
      <c r="C6" s="54">
        <f>0+0</f>
        <v>0</v>
      </c>
      <c r="D6" s="19">
        <f>C6+сентябрь!D6</f>
        <v>0</v>
      </c>
      <c r="E6" s="8">
        <f>0+0</f>
        <v>0</v>
      </c>
      <c r="F6" s="19">
        <f>E6+сентябрь!F6</f>
        <v>0</v>
      </c>
      <c r="G6" s="19">
        <f t="shared" si="0"/>
        <v>0</v>
      </c>
      <c r="H6" s="20">
        <f t="shared" si="0"/>
        <v>0</v>
      </c>
      <c r="I6" s="9"/>
      <c r="J6" s="20">
        <f>I6+сентябрь!J6</f>
        <v>0</v>
      </c>
      <c r="K6" s="8"/>
      <c r="L6" s="19">
        <f>K6+сентябрь!L6</f>
        <v>0</v>
      </c>
    </row>
    <row r="7" spans="1:13" ht="14.1" customHeight="1">
      <c r="A7" s="1">
        <f t="shared" si="1"/>
        <v>5</v>
      </c>
      <c r="B7" s="40" t="str">
        <f>сентябрь!B7</f>
        <v>Уборка и сан.очистка зем.уч.</v>
      </c>
      <c r="C7" s="8">
        <f>2501.15+629.55</f>
        <v>3130.7</v>
      </c>
      <c r="D7" s="19">
        <f>C7+сентябрь!D7</f>
        <v>25001.710000000003</v>
      </c>
      <c r="E7" s="8">
        <f>2610.36+597.08</f>
        <v>3207.44</v>
      </c>
      <c r="F7" s="19">
        <f>E7+сентябрь!F7</f>
        <v>25934.85</v>
      </c>
      <c r="G7" s="19">
        <f t="shared" si="0"/>
        <v>76.740000000000236</v>
      </c>
      <c r="H7" s="20">
        <f t="shared" si="0"/>
        <v>933.13999999999578</v>
      </c>
      <c r="I7" s="9"/>
      <c r="J7" s="20">
        <f>I7+сентябрь!J7</f>
        <v>0</v>
      </c>
      <c r="K7" s="8"/>
      <c r="L7" s="19">
        <f>K7+сентябрь!L7</f>
        <v>0</v>
      </c>
    </row>
    <row r="8" spans="1:13" ht="14.1" customHeight="1">
      <c r="A8" s="1">
        <f t="shared" si="1"/>
        <v>6</v>
      </c>
      <c r="B8" s="40" t="str">
        <f>сентябрь!B8</f>
        <v>Электроснабжение(инд.потр)</v>
      </c>
      <c r="C8" s="8">
        <f>20574+5416.2</f>
        <v>25990.2</v>
      </c>
      <c r="D8" s="19">
        <f>C8+сентябрь!D8</f>
        <v>218867.18000000002</v>
      </c>
      <c r="E8" s="8">
        <f>23209.63+4684.62</f>
        <v>27894.25</v>
      </c>
      <c r="F8" s="19">
        <f>E8+сентябрь!F8</f>
        <v>230972.28</v>
      </c>
      <c r="G8" s="19">
        <f t="shared" si="0"/>
        <v>1904.0499999999993</v>
      </c>
      <c r="H8" s="20">
        <f t="shared" si="0"/>
        <v>12105.099999999977</v>
      </c>
      <c r="I8" s="9"/>
      <c r="J8" s="20">
        <f>I8+сентябрь!J8</f>
        <v>0</v>
      </c>
      <c r="K8" s="8"/>
      <c r="L8" s="19">
        <f>K8+сентябрь!L8</f>
        <v>0</v>
      </c>
    </row>
    <row r="9" spans="1:13" ht="14.1" customHeight="1">
      <c r="A9" s="1">
        <f t="shared" si="1"/>
        <v>7</v>
      </c>
      <c r="B9" s="40" t="str">
        <f>сентябрь!B9</f>
        <v>Холодная вода</v>
      </c>
      <c r="C9" s="8">
        <f>6641.93+2278.94</f>
        <v>8920.8700000000008</v>
      </c>
      <c r="D9" s="19">
        <f>C9+сентябрь!D9</f>
        <v>56353.470000000008</v>
      </c>
      <c r="E9" s="8">
        <f>5757.6+1627.27</f>
        <v>7384.8700000000008</v>
      </c>
      <c r="F9" s="19">
        <f>E9+сентябрь!F9</f>
        <v>60476.77</v>
      </c>
      <c r="G9" s="19">
        <f t="shared" si="0"/>
        <v>-1536</v>
      </c>
      <c r="H9" s="20">
        <f t="shared" si="0"/>
        <v>4123.2999999999884</v>
      </c>
      <c r="I9" s="9"/>
      <c r="J9" s="20">
        <f>I9+сентябрь!J9</f>
        <v>0</v>
      </c>
      <c r="K9" s="8"/>
      <c r="L9" s="19">
        <f>K9+сентябрь!L9</f>
        <v>0</v>
      </c>
    </row>
    <row r="10" spans="1:13" ht="14.1" customHeight="1">
      <c r="A10" s="1">
        <f t="shared" si="1"/>
        <v>8</v>
      </c>
      <c r="B10" s="40" t="str">
        <f>сентябрь!B10</f>
        <v>Канализирование х.воды</v>
      </c>
      <c r="C10" s="54">
        <f>0+0</f>
        <v>0</v>
      </c>
      <c r="D10" s="19">
        <f>C10+сентябрь!D10</f>
        <v>0</v>
      </c>
      <c r="E10" s="8">
        <f>0+0</f>
        <v>0</v>
      </c>
      <c r="F10" s="19">
        <f>E10+сентябрь!F10</f>
        <v>0</v>
      </c>
      <c r="G10" s="19">
        <f t="shared" si="0"/>
        <v>0</v>
      </c>
      <c r="H10" s="20">
        <f t="shared" si="0"/>
        <v>0</v>
      </c>
      <c r="I10" s="9"/>
      <c r="J10" s="20">
        <f>I10+сентябрь!J10</f>
        <v>0</v>
      </c>
      <c r="K10" s="8"/>
      <c r="L10" s="19">
        <f>K10+сентябрь!L10</f>
        <v>0</v>
      </c>
    </row>
    <row r="11" spans="1:13" ht="14.1" customHeight="1">
      <c r="A11" s="1">
        <f t="shared" si="1"/>
        <v>9</v>
      </c>
      <c r="B11" s="40" t="str">
        <f>сентябрь!B11</f>
        <v>Канализирование г.воды</v>
      </c>
      <c r="C11" s="54">
        <f>0+0</f>
        <v>0</v>
      </c>
      <c r="D11" s="19">
        <f>C11+сентябрь!D11</f>
        <v>0</v>
      </c>
      <c r="E11" s="8">
        <f>0+0</f>
        <v>0</v>
      </c>
      <c r="F11" s="19">
        <f>E11+сентябрь!F11</f>
        <v>0</v>
      </c>
      <c r="G11" s="19">
        <f t="shared" si="0"/>
        <v>0</v>
      </c>
      <c r="H11" s="20">
        <f t="shared" si="0"/>
        <v>0</v>
      </c>
      <c r="I11" s="9"/>
      <c r="J11" s="20">
        <f>I11+сентябрь!J11</f>
        <v>0</v>
      </c>
      <c r="K11" s="8"/>
      <c r="L11" s="19">
        <f>K11+сентябрь!L11</f>
        <v>0</v>
      </c>
    </row>
    <row r="12" spans="1:13" ht="14.1" customHeight="1">
      <c r="A12" s="1">
        <f t="shared" si="1"/>
        <v>10</v>
      </c>
      <c r="B12" s="40" t="str">
        <f>сентябрь!B12</f>
        <v>Тек.рем.общ.имущ.дома</v>
      </c>
      <c r="C12" s="8">
        <f>8487.49+2136.29</f>
        <v>10623.779999999999</v>
      </c>
      <c r="D12" s="19">
        <f>C12+сентябрь!D12</f>
        <v>90439.95</v>
      </c>
      <c r="E12" s="8">
        <f>8972.93+2033.29</f>
        <v>11006.220000000001</v>
      </c>
      <c r="F12" s="19">
        <f>E12+сентябрь!F12</f>
        <v>97014.739999999991</v>
      </c>
      <c r="G12" s="19">
        <f t="shared" si="0"/>
        <v>382.44000000000233</v>
      </c>
      <c r="H12" s="20">
        <f t="shared" si="0"/>
        <v>6574.7899999999936</v>
      </c>
      <c r="I12" s="9"/>
      <c r="J12" s="20">
        <f>I12+сентябрь!J12</f>
        <v>0</v>
      </c>
      <c r="K12" s="8"/>
      <c r="L12" s="19">
        <f>K12+сентябрь!L12</f>
        <v>0</v>
      </c>
    </row>
    <row r="13" spans="1:13" ht="14.1" customHeight="1">
      <c r="A13" s="1">
        <f t="shared" si="1"/>
        <v>11</v>
      </c>
      <c r="B13" s="40" t="str">
        <f>сентябрь!B13</f>
        <v>Сод.и тек.рем.в/дом.газосн</v>
      </c>
      <c r="C13" s="8">
        <f>913.93+222.88</f>
        <v>1136.81</v>
      </c>
      <c r="D13" s="19">
        <f>C13+сентябрь!D13</f>
        <v>9767.7199999999975</v>
      </c>
      <c r="E13" s="8">
        <f>974.51+222.75</f>
        <v>1197.26</v>
      </c>
      <c r="F13" s="19">
        <f>E13+сентябрь!F13</f>
        <v>10346.86</v>
      </c>
      <c r="G13" s="19">
        <f t="shared" si="0"/>
        <v>60.450000000000045</v>
      </c>
      <c r="H13" s="20">
        <f t="shared" si="0"/>
        <v>579.14000000000306</v>
      </c>
      <c r="I13" s="9"/>
      <c r="J13" s="20">
        <f>I13+сентябрь!J13</f>
        <v>0</v>
      </c>
      <c r="K13" s="8"/>
      <c r="L13" s="19">
        <f>K13+сентябрь!L13</f>
        <v>0</v>
      </c>
    </row>
    <row r="14" spans="1:13" ht="14.1" customHeight="1">
      <c r="A14" s="1">
        <f t="shared" si="1"/>
        <v>12</v>
      </c>
      <c r="B14" s="40" t="str">
        <f>сентябрь!B14</f>
        <v>Управление многокв.домом</v>
      </c>
      <c r="C14" s="8">
        <f>3512.54+884.11</f>
        <v>4396.6499999999996</v>
      </c>
      <c r="D14" s="19">
        <f>C14+сентябрь!D14</f>
        <v>36387.01</v>
      </c>
      <c r="E14" s="8">
        <f>3672.78+840.13</f>
        <v>4512.91</v>
      </c>
      <c r="F14" s="19">
        <f>E14+сентябрь!F14</f>
        <v>37679.520000000004</v>
      </c>
      <c r="G14" s="19">
        <f t="shared" si="0"/>
        <v>116.26000000000022</v>
      </c>
      <c r="H14" s="20">
        <f t="shared" si="0"/>
        <v>1292.510000000002</v>
      </c>
      <c r="I14" s="9"/>
      <c r="J14" s="20">
        <f>I14+сентябрь!J14</f>
        <v>0</v>
      </c>
      <c r="K14" s="8"/>
      <c r="L14" s="19">
        <f>K14+сентябрь!L14</f>
        <v>0</v>
      </c>
    </row>
    <row r="15" spans="1:13" ht="14.1" customHeight="1">
      <c r="A15" s="1">
        <f t="shared" si="1"/>
        <v>13</v>
      </c>
      <c r="B15" s="40" t="str">
        <f>сентябрь!B15</f>
        <v>Водоотведение(кв)</v>
      </c>
      <c r="C15" s="8">
        <f>9687+3138.52</f>
        <v>12825.52</v>
      </c>
      <c r="D15" s="19">
        <f>C15+сентябрь!D15</f>
        <v>92821.19</v>
      </c>
      <c r="E15" s="8">
        <f>9023.66+2542.7</f>
        <v>11566.36</v>
      </c>
      <c r="F15" s="19">
        <f>E15+сентябрь!F15</f>
        <v>103781.20999999999</v>
      </c>
      <c r="G15" s="19">
        <f t="shared" si="0"/>
        <v>-1259.1599999999999</v>
      </c>
      <c r="H15" s="20">
        <f t="shared" si="0"/>
        <v>10960.01999999999</v>
      </c>
      <c r="I15" s="9"/>
      <c r="J15" s="20">
        <f>I15+сентябрь!J15</f>
        <v>0</v>
      </c>
      <c r="K15" s="8"/>
      <c r="L15" s="19">
        <f>K15+сентябрь!L15</f>
        <v>0</v>
      </c>
    </row>
    <row r="16" spans="1:13" ht="14.1" customHeight="1">
      <c r="A16" s="1">
        <f t="shared" si="1"/>
        <v>14</v>
      </c>
      <c r="B16" s="40" t="str">
        <f>сентябрь!B16</f>
        <v>Эксплуатация общед.ПУ</v>
      </c>
      <c r="C16" s="8">
        <f>902.09+227.07</f>
        <v>1129.1600000000001</v>
      </c>
      <c r="D16" s="19">
        <f>C16+сентябрь!D16</f>
        <v>9606.48</v>
      </c>
      <c r="E16" s="8">
        <f>945.47+216.09</f>
        <v>1161.56</v>
      </c>
      <c r="F16" s="19">
        <f>E16+сентябрь!F16</f>
        <v>10240.709999999999</v>
      </c>
      <c r="G16" s="19">
        <f t="shared" si="0"/>
        <v>32.399999999999864</v>
      </c>
      <c r="H16" s="20">
        <f t="shared" si="0"/>
        <v>634.22999999999956</v>
      </c>
      <c r="I16" s="9"/>
      <c r="J16" s="20">
        <f>I16+сентябрь!J16</f>
        <v>0</v>
      </c>
      <c r="K16" s="8"/>
      <c r="L16" s="19">
        <f>K16+сентябрь!L16</f>
        <v>0</v>
      </c>
    </row>
    <row r="17" spans="1:12" ht="14.1" customHeight="1">
      <c r="A17" s="1">
        <f t="shared" si="1"/>
        <v>15</v>
      </c>
      <c r="B17" s="40" t="str">
        <f>сентябрь!B17</f>
        <v>Хол. водоснаб(о/д нужды)</v>
      </c>
      <c r="C17" s="8">
        <f>411+103.58</f>
        <v>514.58000000000004</v>
      </c>
      <c r="D17" s="19">
        <f>C17+сентябрь!D17</f>
        <v>3685.39</v>
      </c>
      <c r="E17" s="8">
        <f>425.22+120.46</f>
        <v>545.68000000000006</v>
      </c>
      <c r="F17" s="19">
        <f>E17+сентябрь!F17</f>
        <v>4940.2600000000011</v>
      </c>
      <c r="G17" s="19">
        <f t="shared" si="0"/>
        <v>31.100000000000023</v>
      </c>
      <c r="H17" s="20">
        <f t="shared" si="0"/>
        <v>1254.8700000000013</v>
      </c>
      <c r="I17" s="9"/>
      <c r="J17" s="20">
        <f>I17+сентябрь!J17</f>
        <v>0</v>
      </c>
      <c r="K17" s="8"/>
      <c r="L17" s="19">
        <f>K17+сентябрь!L17</f>
        <v>0</v>
      </c>
    </row>
    <row r="18" spans="1:12" ht="14.1" customHeight="1">
      <c r="A18" s="1">
        <f t="shared" si="1"/>
        <v>16</v>
      </c>
      <c r="B18" s="40" t="str">
        <f>сентябрь!B18</f>
        <v>Водоотведение(о/д нужды)</v>
      </c>
      <c r="C18" s="54">
        <f>0+0</f>
        <v>0</v>
      </c>
      <c r="D18" s="19">
        <f>C18+сентябрь!D18</f>
        <v>0</v>
      </c>
      <c r="E18" s="8">
        <f>0+0</f>
        <v>0</v>
      </c>
      <c r="F18" s="19">
        <f>E18+сентябрь!F18</f>
        <v>0</v>
      </c>
      <c r="G18" s="19">
        <f t="shared" si="0"/>
        <v>0</v>
      </c>
      <c r="H18" s="20">
        <f t="shared" si="0"/>
        <v>0</v>
      </c>
      <c r="I18" s="9"/>
      <c r="J18" s="20">
        <f>I18+сентябрь!J18</f>
        <v>0</v>
      </c>
      <c r="K18" s="8"/>
      <c r="L18" s="19">
        <f>K18+сентябрь!L18</f>
        <v>0</v>
      </c>
    </row>
    <row r="19" spans="1:12" ht="14.1" customHeight="1">
      <c r="A19" s="1">
        <f t="shared" si="1"/>
        <v>17</v>
      </c>
      <c r="B19" s="40" t="str">
        <f>сентябрь!B19</f>
        <v>Отопление(о/д нужды)</v>
      </c>
      <c r="C19" s="54">
        <f>0+0</f>
        <v>0</v>
      </c>
      <c r="D19" s="19">
        <f>C19+сентябрь!D19</f>
        <v>0</v>
      </c>
      <c r="E19" s="8">
        <f>0+0</f>
        <v>0</v>
      </c>
      <c r="F19" s="19">
        <f>E19+сентябрь!F19</f>
        <v>0</v>
      </c>
      <c r="G19" s="19">
        <f t="shared" si="0"/>
        <v>0</v>
      </c>
      <c r="H19" s="20">
        <f t="shared" si="0"/>
        <v>0</v>
      </c>
      <c r="I19" s="9"/>
      <c r="J19" s="20">
        <f>I19+сентябрь!J19</f>
        <v>0</v>
      </c>
      <c r="K19" s="8"/>
      <c r="L19" s="19">
        <f>K19+сентябрь!L19</f>
        <v>0</v>
      </c>
    </row>
    <row r="20" spans="1:12" ht="14.1" customHeight="1">
      <c r="A20" s="1">
        <f t="shared" si="1"/>
        <v>18</v>
      </c>
      <c r="B20" s="40" t="str">
        <f>сентябрь!B20</f>
        <v>Электроснабжение(общед.нужды)</v>
      </c>
      <c r="C20" s="8">
        <f>2522.08+949.56</f>
        <v>3471.64</v>
      </c>
      <c r="D20" s="19">
        <f>C20+сентябрь!D20</f>
        <v>48475.85</v>
      </c>
      <c r="E20" s="8">
        <f>2869.65+2160.43</f>
        <v>5030.08</v>
      </c>
      <c r="F20" s="19">
        <f>E20+сентябрь!F20</f>
        <v>63228.909999999996</v>
      </c>
      <c r="G20" s="19">
        <f t="shared" si="0"/>
        <v>1558.44</v>
      </c>
      <c r="H20" s="20">
        <f t="shared" si="0"/>
        <v>14753.059999999998</v>
      </c>
      <c r="I20" s="9"/>
      <c r="J20" s="20">
        <f>I20+сентябрь!J20</f>
        <v>0</v>
      </c>
      <c r="K20" s="8"/>
      <c r="L20" s="19">
        <f>K20+сентябрь!L20</f>
        <v>0</v>
      </c>
    </row>
    <row r="21" spans="1:12" ht="14.1" customHeight="1">
      <c r="A21" s="1">
        <f t="shared" si="1"/>
        <v>19</v>
      </c>
      <c r="B21" s="40" t="str">
        <f>сентябрь!B21</f>
        <v>Капитальный ремонт</v>
      </c>
      <c r="C21" s="54">
        <f>0+0</f>
        <v>0</v>
      </c>
      <c r="D21" s="19">
        <f>C21+сентябрь!D21</f>
        <v>0</v>
      </c>
      <c r="E21" s="8">
        <f>0+0</f>
        <v>0</v>
      </c>
      <c r="F21" s="19">
        <f>E21+сентябрь!F21</f>
        <v>0</v>
      </c>
      <c r="G21" s="19">
        <f t="shared" si="0"/>
        <v>0</v>
      </c>
      <c r="H21" s="20">
        <f t="shared" si="0"/>
        <v>0</v>
      </c>
      <c r="I21" s="9"/>
      <c r="J21" s="20">
        <f>I21+сентябрь!J21</f>
        <v>0</v>
      </c>
      <c r="K21" s="8"/>
      <c r="L21" s="19">
        <f>K21+сентябрь!L21</f>
        <v>0</v>
      </c>
    </row>
    <row r="22" spans="1:12" ht="14.1" customHeight="1">
      <c r="A22" s="1">
        <f t="shared" si="1"/>
        <v>20</v>
      </c>
      <c r="B22" s="40" t="str">
        <f>сентябрь!B22</f>
        <v>Гор. Водоснабж. (о/д нужды)</v>
      </c>
      <c r="C22" s="8">
        <f>917.67+229.66</f>
        <v>1147.33</v>
      </c>
      <c r="D22" s="19">
        <f>C22+сентябрь!D22</f>
        <v>8411.77</v>
      </c>
      <c r="E22" s="8">
        <f>990.82+251.79</f>
        <v>1242.6100000000001</v>
      </c>
      <c r="F22" s="19">
        <f>E22+сентябрь!F22</f>
        <v>15581.700000000003</v>
      </c>
      <c r="G22" s="19">
        <f t="shared" si="0"/>
        <v>95.2800000000002</v>
      </c>
      <c r="H22" s="20">
        <f t="shared" si="0"/>
        <v>7169.9300000000021</v>
      </c>
      <c r="I22" s="9"/>
      <c r="J22" s="20">
        <f>I22+сентябрь!J22</f>
        <v>0</v>
      </c>
      <c r="K22" s="8"/>
      <c r="L22" s="19">
        <f>K22+сентябрь!L22</f>
        <v>0</v>
      </c>
    </row>
    <row r="23" spans="1:12" ht="14.1" customHeight="1">
      <c r="A23" s="17"/>
      <c r="B23" s="18" t="s">
        <v>12</v>
      </c>
      <c r="C23" s="19">
        <f t="shared" ref="C23:L23" si="2">SUM(C3:C22)</f>
        <v>151066.89999999997</v>
      </c>
      <c r="D23" s="19">
        <f t="shared" si="2"/>
        <v>1174826.8599999999</v>
      </c>
      <c r="E23" s="20">
        <f t="shared" si="2"/>
        <v>112150.68999999999</v>
      </c>
      <c r="F23" s="19">
        <f t="shared" si="2"/>
        <v>1741621.32</v>
      </c>
      <c r="G23" s="19">
        <f t="shared" si="2"/>
        <v>-38916.209999999992</v>
      </c>
      <c r="H23" s="20">
        <f t="shared" si="2"/>
        <v>566794.46000000008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6" spans="1:12">
      <c r="B26" s="1" t="s">
        <v>37</v>
      </c>
      <c r="C26" s="9">
        <f>C9+C10+C11+C15+C17+C18</f>
        <v>22260.97</v>
      </c>
      <c r="D26" s="9">
        <f t="shared" ref="D26:J26" si="3">D9+D10+D11+D15+D17+D18</f>
        <v>152860.05000000002</v>
      </c>
      <c r="E26" s="9">
        <f t="shared" si="3"/>
        <v>19496.910000000003</v>
      </c>
      <c r="F26" s="9">
        <f t="shared" si="3"/>
        <v>169198.24</v>
      </c>
      <c r="G26" s="9">
        <f t="shared" si="3"/>
        <v>-2764.06</v>
      </c>
      <c r="H26" s="9">
        <f t="shared" si="3"/>
        <v>16338.189999999979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29461.84</v>
      </c>
      <c r="D27" s="9">
        <f t="shared" ref="D27:J27" si="4">D8+D20</f>
        <v>267343.03000000003</v>
      </c>
      <c r="E27" s="9">
        <f t="shared" si="4"/>
        <v>32924.33</v>
      </c>
      <c r="F27" s="9">
        <f t="shared" si="4"/>
        <v>294201.19</v>
      </c>
      <c r="G27" s="9">
        <f t="shared" si="4"/>
        <v>3462.4899999999993</v>
      </c>
      <c r="H27" s="9">
        <f t="shared" si="4"/>
        <v>26858.159999999974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58569.08</v>
      </c>
      <c r="D28" s="9">
        <f t="shared" ref="D28:J28" si="5">D4+D5+D19+D22</f>
        <v>411025.17000000004</v>
      </c>
      <c r="E28" s="9">
        <f t="shared" si="5"/>
        <v>17751.71</v>
      </c>
      <c r="F28" s="9">
        <f t="shared" si="5"/>
        <v>916048.32</v>
      </c>
      <c r="G28" s="9">
        <f t="shared" si="5"/>
        <v>-40817.369999999995</v>
      </c>
      <c r="H28" s="9">
        <f t="shared" si="5"/>
        <v>505023.14999999997</v>
      </c>
      <c r="I28" s="9">
        <f t="shared" si="5"/>
        <v>0</v>
      </c>
      <c r="J28" s="9">
        <f t="shared" si="5"/>
        <v>0</v>
      </c>
    </row>
    <row r="31" spans="1:12">
      <c r="D31" s="65">
        <v>118991.33</v>
      </c>
      <c r="E31" s="65">
        <v>88741.06</v>
      </c>
    </row>
    <row r="32" spans="1:12">
      <c r="D32" s="65">
        <v>32075.57</v>
      </c>
      <c r="E32" s="65">
        <v>23409.63</v>
      </c>
    </row>
    <row r="33" spans="4:5">
      <c r="D33" s="66">
        <f>D31+D32</f>
        <v>151066.9</v>
      </c>
      <c r="E33" s="66">
        <f>E31+E32</f>
        <v>112150.69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C10" sqref="C10:C11"/>
    </sheetView>
  </sheetViews>
  <sheetFormatPr defaultRowHeight="12.75"/>
  <cols>
    <col min="1" max="1" width="4.140625" customWidth="1"/>
    <col min="2" max="2" width="30.7109375" customWidth="1"/>
    <col min="3" max="3" width="10.42578125" customWidth="1"/>
    <col min="4" max="4" width="12.5703125" customWidth="1"/>
    <col min="5" max="5" width="10.140625" customWidth="1"/>
    <col min="6" max="6" width="11.42578125" customWidth="1"/>
    <col min="7" max="7" width="9.7109375" bestFit="1" customWidth="1"/>
    <col min="8" max="8" width="13" customWidth="1"/>
    <col min="9" max="9" width="9.28515625" bestFit="1" customWidth="1"/>
    <col min="10" max="10" width="12.140625" customWidth="1"/>
    <col min="11" max="11" width="10.28515625" customWidth="1"/>
    <col min="12" max="12" width="11" customWidth="1"/>
  </cols>
  <sheetData>
    <row r="1" spans="1:13">
      <c r="B1" s="11" t="s">
        <v>18</v>
      </c>
      <c r="C1" s="11" t="s">
        <v>43</v>
      </c>
    </row>
    <row r="2" spans="1:13" s="30" customFormat="1" ht="38.2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 ht="14.1" customHeight="1">
      <c r="A3" s="1">
        <v>1</v>
      </c>
      <c r="B3" s="40" t="str">
        <f>октябрь!B3</f>
        <v>Содержание общ.имущ.дома</v>
      </c>
      <c r="C3" s="8">
        <f>16264.19+4093.72</f>
        <v>20357.91</v>
      </c>
      <c r="D3" s="19">
        <f>C3+октябрь!D3</f>
        <v>192753.65000000002</v>
      </c>
      <c r="E3" s="9">
        <f>13838.36+4972.29</f>
        <v>18810.650000000001</v>
      </c>
      <c r="F3" s="19">
        <f>E3+октябрь!F3</f>
        <v>199767.54</v>
      </c>
      <c r="G3" s="19">
        <f>E3-C3</f>
        <v>-1547.2599999999984</v>
      </c>
      <c r="H3" s="20">
        <f>F3-D3</f>
        <v>7013.8899999999849</v>
      </c>
      <c r="I3" s="9"/>
      <c r="J3" s="20">
        <f>I3+октябрь!J3</f>
        <v>0</v>
      </c>
      <c r="K3" s="8"/>
      <c r="L3" s="19">
        <f>K3+октябрь!L3</f>
        <v>0</v>
      </c>
    </row>
    <row r="4" spans="1:13" ht="14.1" customHeight="1">
      <c r="A4" s="1">
        <f>A3+1</f>
        <v>2</v>
      </c>
      <c r="B4" s="40" t="str">
        <f>октябрь!B4</f>
        <v>Отопление</v>
      </c>
      <c r="C4" s="8">
        <f>48455.9+12196.41</f>
        <v>60652.31</v>
      </c>
      <c r="D4" s="19">
        <f>C4+октябрь!D4</f>
        <v>327708.93</v>
      </c>
      <c r="E4" s="9">
        <f>23461.48+8118.67</f>
        <v>31580.15</v>
      </c>
      <c r="F4" s="19">
        <f>E4+октябрь!F4</f>
        <v>773858.76</v>
      </c>
      <c r="G4" s="19">
        <f t="shared" ref="G4:H22" si="0">E4-C4</f>
        <v>-29072.159999999996</v>
      </c>
      <c r="H4" s="20">
        <f t="shared" si="0"/>
        <v>446149.83</v>
      </c>
      <c r="I4" s="9"/>
      <c r="J4" s="20">
        <f>I4+октябрь!J4</f>
        <v>0</v>
      </c>
      <c r="K4" s="8"/>
      <c r="L4" s="19">
        <f>K4+октябрь!L4</f>
        <v>0</v>
      </c>
      <c r="M4" s="12">
        <f>L4-J4</f>
        <v>0</v>
      </c>
    </row>
    <row r="5" spans="1:13" ht="14.1" customHeight="1">
      <c r="A5" s="1">
        <f t="shared" ref="A5:A22" si="1">A4+1</f>
        <v>3</v>
      </c>
      <c r="B5" s="40" t="str">
        <f>октябрь!B5</f>
        <v>Горячее водоснабжение</v>
      </c>
      <c r="C5" s="61">
        <f>12532.56+3673.27</f>
        <v>16205.83</v>
      </c>
      <c r="D5" s="19">
        <f>C5+октябрь!D5</f>
        <v>151762.60999999999</v>
      </c>
      <c r="E5" s="9">
        <f>7875.08+3607.68</f>
        <v>11482.76</v>
      </c>
      <c r="F5" s="19">
        <f>E5+октябрь!F5</f>
        <v>169670.77000000002</v>
      </c>
      <c r="G5" s="19">
        <f t="shared" si="0"/>
        <v>-4723.07</v>
      </c>
      <c r="H5" s="20">
        <f t="shared" si="0"/>
        <v>17908.160000000033</v>
      </c>
      <c r="I5" s="9"/>
      <c r="J5" s="20">
        <f>I5+октябрь!J5</f>
        <v>0</v>
      </c>
      <c r="K5" s="8"/>
      <c r="L5" s="19">
        <f>K5+октябрь!L5</f>
        <v>0</v>
      </c>
    </row>
    <row r="6" spans="1:13" ht="14.1" customHeight="1">
      <c r="A6" s="1">
        <f t="shared" si="1"/>
        <v>4</v>
      </c>
      <c r="B6" s="40" t="str">
        <f>октябрь!B6</f>
        <v>Газ</v>
      </c>
      <c r="C6" s="54">
        <f>0+0</f>
        <v>0</v>
      </c>
      <c r="D6" s="19">
        <f>C6+октябрь!D6</f>
        <v>0</v>
      </c>
      <c r="E6" s="54">
        <f>0+0</f>
        <v>0</v>
      </c>
      <c r="F6" s="19">
        <f>E6+октябрь!F6</f>
        <v>0</v>
      </c>
      <c r="G6" s="19">
        <f t="shared" si="0"/>
        <v>0</v>
      </c>
      <c r="H6" s="20">
        <f t="shared" si="0"/>
        <v>0</v>
      </c>
      <c r="I6" s="9"/>
      <c r="J6" s="20">
        <f>I6+октябрь!J6</f>
        <v>0</v>
      </c>
      <c r="K6" s="8"/>
      <c r="L6" s="19">
        <f>K6+октябрь!L6</f>
        <v>0</v>
      </c>
    </row>
    <row r="7" spans="1:13" ht="14.1" customHeight="1">
      <c r="A7" s="1">
        <f t="shared" si="1"/>
        <v>5</v>
      </c>
      <c r="B7" s="40" t="str">
        <f>октябрь!B7</f>
        <v>Уборка и сан.очистка зем.уч.</v>
      </c>
      <c r="C7" s="8">
        <f>2501.15+629.55</f>
        <v>3130.7</v>
      </c>
      <c r="D7" s="19">
        <f>C7+октябрь!D7</f>
        <v>28132.410000000003</v>
      </c>
      <c r="E7" s="9">
        <f>2121.48+756.13</f>
        <v>2877.61</v>
      </c>
      <c r="F7" s="19">
        <f>E7+октябрь!F7</f>
        <v>28812.46</v>
      </c>
      <c r="G7" s="19">
        <f t="shared" si="0"/>
        <v>-253.08999999999969</v>
      </c>
      <c r="H7" s="20">
        <f t="shared" si="0"/>
        <v>680.04999999999563</v>
      </c>
      <c r="I7" s="9"/>
      <c r="J7" s="20">
        <f>I7+октябрь!J7</f>
        <v>0</v>
      </c>
      <c r="K7" s="8"/>
      <c r="L7" s="19">
        <f>K7+октябрь!L7</f>
        <v>0</v>
      </c>
    </row>
    <row r="8" spans="1:13" ht="14.1" customHeight="1">
      <c r="A8" s="1">
        <f t="shared" si="1"/>
        <v>6</v>
      </c>
      <c r="B8" s="40" t="str">
        <f>октябрь!B8</f>
        <v>Электроснабжение(инд.потр)</v>
      </c>
      <c r="C8" s="8">
        <f>21079.44+5416.2</f>
        <v>26495.64</v>
      </c>
      <c r="D8" s="19">
        <f>C8+октябрь!D8</f>
        <v>245362.82</v>
      </c>
      <c r="E8" s="9">
        <f>17307.09+6566.09</f>
        <v>23873.18</v>
      </c>
      <c r="F8" s="19">
        <f>E8+октябрь!F8</f>
        <v>254845.46</v>
      </c>
      <c r="G8" s="19">
        <f t="shared" si="0"/>
        <v>-2622.4599999999991</v>
      </c>
      <c r="H8" s="20">
        <f t="shared" si="0"/>
        <v>9482.6399999999849</v>
      </c>
      <c r="I8" s="9"/>
      <c r="J8" s="20">
        <f>I8+октябрь!J8</f>
        <v>0</v>
      </c>
      <c r="K8" s="8"/>
      <c r="L8" s="19">
        <f>K8+октябрь!L8</f>
        <v>0</v>
      </c>
    </row>
    <row r="9" spans="1:13" ht="14.1" customHeight="1">
      <c r="A9" s="1">
        <f t="shared" si="1"/>
        <v>7</v>
      </c>
      <c r="B9" s="40" t="str">
        <f>октябрь!B9</f>
        <v>Холодная вода</v>
      </c>
      <c r="C9" s="8">
        <f>5553.84+1828.86</f>
        <v>7382.7</v>
      </c>
      <c r="D9" s="19">
        <f>C9+октябрь!D9</f>
        <v>63736.170000000006</v>
      </c>
      <c r="E9" s="9">
        <f>4808.15+2717.18</f>
        <v>7525.33</v>
      </c>
      <c r="F9" s="19">
        <f>E9+октябрь!F9</f>
        <v>68002.099999999991</v>
      </c>
      <c r="G9" s="19">
        <f t="shared" si="0"/>
        <v>142.63000000000011</v>
      </c>
      <c r="H9" s="20">
        <f t="shared" si="0"/>
        <v>4265.9299999999857</v>
      </c>
      <c r="I9" s="9"/>
      <c r="J9" s="20">
        <f>I9+октябрь!J9</f>
        <v>0</v>
      </c>
      <c r="K9" s="8"/>
      <c r="L9" s="19">
        <f>K9+октябрь!L9</f>
        <v>0</v>
      </c>
    </row>
    <row r="10" spans="1:13" ht="14.1" customHeight="1">
      <c r="A10" s="1">
        <f t="shared" si="1"/>
        <v>8</v>
      </c>
      <c r="B10" s="40" t="str">
        <f>октябрь!B10</f>
        <v>Канализирование х.воды</v>
      </c>
      <c r="C10" s="54">
        <f>0+0</f>
        <v>0</v>
      </c>
      <c r="D10" s="19">
        <f>C10+октябрь!D10</f>
        <v>0</v>
      </c>
      <c r="E10" s="54">
        <f>0+0</f>
        <v>0</v>
      </c>
      <c r="F10" s="19">
        <f>E10+октябрь!F10</f>
        <v>0</v>
      </c>
      <c r="G10" s="19">
        <f t="shared" si="0"/>
        <v>0</v>
      </c>
      <c r="H10" s="20">
        <f t="shared" si="0"/>
        <v>0</v>
      </c>
      <c r="I10" s="9"/>
      <c r="J10" s="20">
        <f>I10+октябрь!J10</f>
        <v>0</v>
      </c>
      <c r="K10" s="8"/>
      <c r="L10" s="19">
        <f>K10+октябрь!L10</f>
        <v>0</v>
      </c>
    </row>
    <row r="11" spans="1:13" ht="14.1" customHeight="1">
      <c r="A11" s="1">
        <f t="shared" si="1"/>
        <v>9</v>
      </c>
      <c r="B11" s="40" t="str">
        <f>октябрь!B11</f>
        <v>Канализирование г.воды</v>
      </c>
      <c r="C11" s="54">
        <f>0+0</f>
        <v>0</v>
      </c>
      <c r="D11" s="19">
        <f>C11+октябрь!D11</f>
        <v>0</v>
      </c>
      <c r="E11" s="54">
        <f>0+0</f>
        <v>0</v>
      </c>
      <c r="F11" s="19">
        <f>E11+октябрь!F11</f>
        <v>0</v>
      </c>
      <c r="G11" s="19">
        <f t="shared" si="0"/>
        <v>0</v>
      </c>
      <c r="H11" s="20">
        <f t="shared" si="0"/>
        <v>0</v>
      </c>
      <c r="I11" s="9"/>
      <c r="J11" s="20">
        <f>I11+октябрь!J11</f>
        <v>0</v>
      </c>
      <c r="K11" s="8"/>
      <c r="L11" s="19">
        <f>K11+октябрь!L11</f>
        <v>0</v>
      </c>
    </row>
    <row r="12" spans="1:13" ht="14.1" customHeight="1">
      <c r="A12" s="1">
        <f t="shared" si="1"/>
        <v>10</v>
      </c>
      <c r="B12" s="40" t="str">
        <f>октябрь!B12</f>
        <v>Тек.рем.общ.имущ.дома</v>
      </c>
      <c r="C12" s="8">
        <f>8487.49+2136.29</f>
        <v>10623.779999999999</v>
      </c>
      <c r="D12" s="19">
        <f>C12+октябрь!D12</f>
        <v>101063.73</v>
      </c>
      <c r="E12" s="9">
        <f>7255.73+2597.45</f>
        <v>9853.18</v>
      </c>
      <c r="F12" s="19">
        <f>E12+октябрь!F12</f>
        <v>106867.91999999998</v>
      </c>
      <c r="G12" s="19">
        <f t="shared" si="0"/>
        <v>-770.59999999999854</v>
      </c>
      <c r="H12" s="20">
        <f t="shared" si="0"/>
        <v>5804.1899999999878</v>
      </c>
      <c r="I12" s="9"/>
      <c r="J12" s="20">
        <f>I12+октябрь!J12</f>
        <v>0</v>
      </c>
      <c r="K12" s="8"/>
      <c r="L12" s="19">
        <f>K12+октябрь!L12</f>
        <v>0</v>
      </c>
    </row>
    <row r="13" spans="1:13" ht="14.1" customHeight="1">
      <c r="A13" s="1">
        <f t="shared" si="1"/>
        <v>11</v>
      </c>
      <c r="B13" s="40" t="str">
        <f>октябрь!B13</f>
        <v>Сод.и тек.рем.в/дом.газосн</v>
      </c>
      <c r="C13" s="8">
        <f>913.93+222.88</f>
        <v>1136.81</v>
      </c>
      <c r="D13" s="19">
        <f>C13+октябрь!D13</f>
        <v>10904.529999999997</v>
      </c>
      <c r="E13" s="9">
        <f>792.03+284.91</f>
        <v>1076.94</v>
      </c>
      <c r="F13" s="19">
        <f>E13+октябрь!F13</f>
        <v>11423.800000000001</v>
      </c>
      <c r="G13" s="19">
        <f t="shared" si="0"/>
        <v>-59.869999999999891</v>
      </c>
      <c r="H13" s="20">
        <f t="shared" si="0"/>
        <v>519.27000000000407</v>
      </c>
      <c r="I13" s="9"/>
      <c r="J13" s="20">
        <f>I13+октябрь!J13</f>
        <v>0</v>
      </c>
      <c r="K13" s="8"/>
      <c r="L13" s="19">
        <f>K13+октябрь!L13</f>
        <v>0</v>
      </c>
    </row>
    <row r="14" spans="1:13" ht="14.1" customHeight="1">
      <c r="A14" s="1">
        <f t="shared" si="1"/>
        <v>12</v>
      </c>
      <c r="B14" s="40" t="str">
        <f>октябрь!B14</f>
        <v>Управление многокв.домом</v>
      </c>
      <c r="C14" s="8">
        <f>3512.54+884.11</f>
        <v>4396.6499999999996</v>
      </c>
      <c r="D14" s="19">
        <f>C14+октябрь!D14</f>
        <v>40783.660000000003</v>
      </c>
      <c r="E14" s="9">
        <f>2969.25+1069.08</f>
        <v>4038.33</v>
      </c>
      <c r="F14" s="19">
        <f>E14+октябрь!F14</f>
        <v>41717.850000000006</v>
      </c>
      <c r="G14" s="19">
        <f t="shared" si="0"/>
        <v>-358.31999999999971</v>
      </c>
      <c r="H14" s="20">
        <f t="shared" si="0"/>
        <v>934.19000000000233</v>
      </c>
      <c r="I14" s="9"/>
      <c r="J14" s="20">
        <f>I14+октябрь!J14</f>
        <v>0</v>
      </c>
      <c r="K14" s="8"/>
      <c r="L14" s="19">
        <f>K14+октябрь!L14</f>
        <v>0</v>
      </c>
    </row>
    <row r="15" spans="1:13" ht="14.1" customHeight="1">
      <c r="A15" s="1">
        <f t="shared" si="1"/>
        <v>13</v>
      </c>
      <c r="B15" s="40" t="str">
        <f>октябрь!B15</f>
        <v>Водоотведение(кв)</v>
      </c>
      <c r="C15" s="8">
        <f>9036.58+2849.67</f>
        <v>11886.25</v>
      </c>
      <c r="D15" s="19">
        <f>C15+октябрь!D15</f>
        <v>104707.44</v>
      </c>
      <c r="E15" s="9">
        <f>6978.19+3708.71</f>
        <v>10686.9</v>
      </c>
      <c r="F15" s="19">
        <f>E15+октябрь!F15</f>
        <v>114468.10999999999</v>
      </c>
      <c r="G15" s="19">
        <f t="shared" si="0"/>
        <v>-1199.3500000000004</v>
      </c>
      <c r="H15" s="20">
        <f t="shared" si="0"/>
        <v>9760.6699999999837</v>
      </c>
      <c r="I15" s="9"/>
      <c r="J15" s="20">
        <f>I15+октябрь!J15</f>
        <v>0</v>
      </c>
      <c r="K15" s="8"/>
      <c r="L15" s="19">
        <f>K15+октябрь!L15</f>
        <v>0</v>
      </c>
    </row>
    <row r="16" spans="1:13" ht="14.1" customHeight="1">
      <c r="A16" s="1">
        <f t="shared" si="1"/>
        <v>14</v>
      </c>
      <c r="B16" s="40" t="str">
        <f>октябрь!B16</f>
        <v>Эксплуатация общед.ПУ</v>
      </c>
      <c r="C16" s="8">
        <f>902.09+227.07</f>
        <v>1129.1600000000001</v>
      </c>
      <c r="D16" s="19">
        <f>C16+октябрь!D16</f>
        <v>10735.64</v>
      </c>
      <c r="E16" s="9">
        <f>769.33+276.06</f>
        <v>1045.3900000000001</v>
      </c>
      <c r="F16" s="19">
        <f>E16+октябрь!F16</f>
        <v>11286.099999999999</v>
      </c>
      <c r="G16" s="19">
        <f t="shared" si="0"/>
        <v>-83.769999999999982</v>
      </c>
      <c r="H16" s="20">
        <f t="shared" si="0"/>
        <v>550.45999999999913</v>
      </c>
      <c r="I16" s="9"/>
      <c r="J16" s="20">
        <f>I16+октябрь!J16</f>
        <v>0</v>
      </c>
      <c r="K16" s="8"/>
      <c r="L16" s="19">
        <f>K16+октябрь!L16</f>
        <v>0</v>
      </c>
    </row>
    <row r="17" spans="1:12" ht="14.1" customHeight="1">
      <c r="A17" s="1">
        <f t="shared" si="1"/>
        <v>15</v>
      </c>
      <c r="B17" s="40" t="str">
        <f>октябрь!B17</f>
        <v>Хол. водоснаб(о/д нужды)</v>
      </c>
      <c r="C17" s="8">
        <f>411+103.58</f>
        <v>514.58000000000004</v>
      </c>
      <c r="D17" s="19">
        <f>C17+октябрь!D17</f>
        <v>4199.97</v>
      </c>
      <c r="E17" s="9">
        <f>346.35+127.92</f>
        <v>474.27000000000004</v>
      </c>
      <c r="F17" s="19">
        <f>E17+октябрь!F17</f>
        <v>5414.5300000000016</v>
      </c>
      <c r="G17" s="19">
        <f t="shared" si="0"/>
        <v>-40.31</v>
      </c>
      <c r="H17" s="20">
        <f t="shared" si="0"/>
        <v>1214.5600000000013</v>
      </c>
      <c r="I17" s="9"/>
      <c r="J17" s="20">
        <f>I17+октябрь!J17</f>
        <v>0</v>
      </c>
      <c r="K17" s="8"/>
      <c r="L17" s="19">
        <f>K17+октябрь!L17</f>
        <v>0</v>
      </c>
    </row>
    <row r="18" spans="1:12" ht="14.1" customHeight="1">
      <c r="A18" s="1">
        <f t="shared" si="1"/>
        <v>16</v>
      </c>
      <c r="B18" s="40" t="str">
        <f>октябрь!B18</f>
        <v>Водоотведение(о/д нужды)</v>
      </c>
      <c r="C18" s="54">
        <f>0+0</f>
        <v>0</v>
      </c>
      <c r="D18" s="19">
        <f>C18+октябрь!D18</f>
        <v>0</v>
      </c>
      <c r="E18" s="54">
        <f>0+0</f>
        <v>0</v>
      </c>
      <c r="F18" s="19">
        <f>E18+октябрь!F18</f>
        <v>0</v>
      </c>
      <c r="G18" s="19">
        <f t="shared" si="0"/>
        <v>0</v>
      </c>
      <c r="H18" s="20">
        <f t="shared" si="0"/>
        <v>0</v>
      </c>
      <c r="I18" s="9"/>
      <c r="J18" s="20">
        <f>I18+октябрь!J18</f>
        <v>0</v>
      </c>
      <c r="K18" s="8"/>
      <c r="L18" s="19">
        <f>K18+октябрь!L18</f>
        <v>0</v>
      </c>
    </row>
    <row r="19" spans="1:12" ht="14.1" customHeight="1">
      <c r="A19" s="1">
        <f t="shared" si="1"/>
        <v>17</v>
      </c>
      <c r="B19" s="40" t="str">
        <f>октябрь!B19</f>
        <v>Отопление(о/д нужды)</v>
      </c>
      <c r="C19" s="54">
        <f>0+0</f>
        <v>0</v>
      </c>
      <c r="D19" s="19">
        <f>C19+октябрь!D19</f>
        <v>0</v>
      </c>
      <c r="E19" s="54">
        <f>0+0</f>
        <v>0</v>
      </c>
      <c r="F19" s="19">
        <f>E19+октябрь!F19</f>
        <v>0</v>
      </c>
      <c r="G19" s="19">
        <f t="shared" si="0"/>
        <v>0</v>
      </c>
      <c r="H19" s="20">
        <f t="shared" si="0"/>
        <v>0</v>
      </c>
      <c r="I19" s="9"/>
      <c r="J19" s="20">
        <f>I19+октябрь!J19</f>
        <v>0</v>
      </c>
      <c r="K19" s="8"/>
      <c r="L19" s="19">
        <f>K19+октябрь!L19</f>
        <v>0</v>
      </c>
    </row>
    <row r="20" spans="1:12" ht="14.1" customHeight="1">
      <c r="A20" s="1">
        <f t="shared" si="1"/>
        <v>18</v>
      </c>
      <c r="B20" s="40" t="str">
        <f>октябрь!B20</f>
        <v>Электроснабжение(общед.нужды)</v>
      </c>
      <c r="C20" s="8">
        <f>7119.52+2438.17</f>
        <v>9557.69</v>
      </c>
      <c r="D20" s="19">
        <f>C20+октябрь!D20</f>
        <v>58033.54</v>
      </c>
      <c r="E20" s="9">
        <f>3355.99+1687.4</f>
        <v>5043.3899999999994</v>
      </c>
      <c r="F20" s="19">
        <f>E20+октябрь!F20</f>
        <v>68272.299999999988</v>
      </c>
      <c r="G20" s="19">
        <f t="shared" si="0"/>
        <v>-4514.3000000000011</v>
      </c>
      <c r="H20" s="20">
        <f t="shared" si="0"/>
        <v>10238.759999999987</v>
      </c>
      <c r="I20" s="9"/>
      <c r="J20" s="20">
        <f>I20+октябрь!J20</f>
        <v>0</v>
      </c>
      <c r="K20" s="8"/>
      <c r="L20" s="19">
        <f>K20+октябрь!L20</f>
        <v>0</v>
      </c>
    </row>
    <row r="21" spans="1:12" ht="14.1" customHeight="1">
      <c r="A21" s="1">
        <f t="shared" si="1"/>
        <v>19</v>
      </c>
      <c r="B21" s="40" t="str">
        <f>октябрь!B21</f>
        <v>Капитальный ремонт</v>
      </c>
      <c r="C21" s="54">
        <f>0+0</f>
        <v>0</v>
      </c>
      <c r="D21" s="19">
        <f>C21+октябрь!D21</f>
        <v>0</v>
      </c>
      <c r="E21" s="54">
        <f>0+0</f>
        <v>0</v>
      </c>
      <c r="F21" s="19">
        <f>E21+октябрь!F21</f>
        <v>0</v>
      </c>
      <c r="G21" s="19">
        <f t="shared" si="0"/>
        <v>0</v>
      </c>
      <c r="H21" s="20">
        <f t="shared" si="0"/>
        <v>0</v>
      </c>
      <c r="I21" s="9"/>
      <c r="J21" s="20">
        <f>I21+октябрь!J21</f>
        <v>0</v>
      </c>
      <c r="K21" s="8"/>
      <c r="L21" s="19">
        <f>K21+октябрь!L21</f>
        <v>0</v>
      </c>
    </row>
    <row r="22" spans="1:12" ht="14.1" customHeight="1">
      <c r="A22" s="1">
        <f t="shared" si="1"/>
        <v>20</v>
      </c>
      <c r="B22" s="40" t="str">
        <f>октябрь!B22</f>
        <v>Гор. Водоснабж. (о/д нужды)</v>
      </c>
      <c r="C22" s="8">
        <f>917.67+229.66+243.83</f>
        <v>1391.1599999999999</v>
      </c>
      <c r="D22" s="19">
        <f>C22+октябрь!D22</f>
        <v>9802.93</v>
      </c>
      <c r="E22" s="9">
        <f>845.15+302.13</f>
        <v>1147.28</v>
      </c>
      <c r="F22" s="19">
        <f>E22+октябрь!F22</f>
        <v>16728.980000000003</v>
      </c>
      <c r="G22" s="19">
        <f t="shared" si="0"/>
        <v>-243.87999999999988</v>
      </c>
      <c r="H22" s="20">
        <f t="shared" si="0"/>
        <v>6926.0500000000029</v>
      </c>
      <c r="I22" s="9"/>
      <c r="J22" s="20">
        <f>I22+октябрь!J22</f>
        <v>0</v>
      </c>
      <c r="K22" s="8"/>
      <c r="L22" s="19">
        <f>K22+октябрь!L22</f>
        <v>0</v>
      </c>
    </row>
    <row r="23" spans="1:12" ht="14.1" customHeight="1">
      <c r="A23" s="17"/>
      <c r="B23" s="18" t="s">
        <v>12</v>
      </c>
      <c r="C23" s="19">
        <f t="shared" ref="C23:L23" si="2">SUM(C3:C22)</f>
        <v>174861.16999999998</v>
      </c>
      <c r="D23" s="19">
        <f t="shared" si="2"/>
        <v>1349688.0299999998</v>
      </c>
      <c r="E23" s="20">
        <f t="shared" si="2"/>
        <v>129515.36000000002</v>
      </c>
      <c r="F23" s="19">
        <f t="shared" si="2"/>
        <v>1871136.6800000002</v>
      </c>
      <c r="G23" s="19">
        <f t="shared" si="2"/>
        <v>-45345.809999999983</v>
      </c>
      <c r="H23" s="20">
        <f t="shared" si="2"/>
        <v>521448.64999999997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5" spans="1:12" ht="6" customHeight="1"/>
    <row r="26" spans="1:12">
      <c r="B26" s="1" t="s">
        <v>37</v>
      </c>
      <c r="C26" s="9">
        <f>C9+C10+C11+C15+C17+C18</f>
        <v>19783.530000000002</v>
      </c>
      <c r="D26" s="9">
        <f t="shared" ref="D26:J26" si="3">D9+D10+D11+D15+D17+D18</f>
        <v>172643.58000000002</v>
      </c>
      <c r="E26" s="9">
        <f t="shared" si="3"/>
        <v>18686.5</v>
      </c>
      <c r="F26" s="9">
        <f t="shared" si="3"/>
        <v>187884.73999999996</v>
      </c>
      <c r="G26" s="9">
        <f t="shared" si="3"/>
        <v>-1097.0300000000002</v>
      </c>
      <c r="H26" s="9">
        <f t="shared" si="3"/>
        <v>15241.159999999971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36053.33</v>
      </c>
      <c r="D27" s="9">
        <f t="shared" ref="D27:J27" si="4">D8+D20</f>
        <v>303396.36</v>
      </c>
      <c r="E27" s="9">
        <f t="shared" si="4"/>
        <v>28916.57</v>
      </c>
      <c r="F27" s="9">
        <f t="shared" si="4"/>
        <v>323117.76</v>
      </c>
      <c r="G27" s="9">
        <f t="shared" si="4"/>
        <v>-7136.76</v>
      </c>
      <c r="H27" s="9">
        <f t="shared" si="4"/>
        <v>19721.399999999972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78249.3</v>
      </c>
      <c r="D28" s="9">
        <f t="shared" ref="D28:J28" si="5">D4+D5+D19+D22</f>
        <v>489274.47</v>
      </c>
      <c r="E28" s="9">
        <f t="shared" si="5"/>
        <v>44210.19</v>
      </c>
      <c r="F28" s="9">
        <f t="shared" si="5"/>
        <v>960258.51</v>
      </c>
      <c r="G28" s="9">
        <f t="shared" si="5"/>
        <v>-34039.109999999993</v>
      </c>
      <c r="H28" s="9">
        <f t="shared" si="5"/>
        <v>470984.04000000004</v>
      </c>
      <c r="I28" s="9">
        <f t="shared" si="5"/>
        <v>0</v>
      </c>
      <c r="J28" s="9">
        <f t="shared" si="5"/>
        <v>0</v>
      </c>
    </row>
    <row r="31" spans="1:12">
      <c r="D31">
        <v>137931.73000000001</v>
      </c>
      <c r="E31">
        <v>92723.66</v>
      </c>
    </row>
    <row r="32" spans="1:12">
      <c r="D32">
        <v>36929.440000000002</v>
      </c>
      <c r="E32">
        <v>36791.699999999997</v>
      </c>
    </row>
    <row r="33" spans="3:5">
      <c r="C33" s="12">
        <f>C23-D33</f>
        <v>0</v>
      </c>
      <c r="D33" s="11">
        <f>D31+D32</f>
        <v>174861.17</v>
      </c>
      <c r="E33" s="11">
        <f>E31+E32</f>
        <v>129515.36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E6" sqref="E6"/>
    </sheetView>
  </sheetViews>
  <sheetFormatPr defaultRowHeight="12.75"/>
  <cols>
    <col min="1" max="1" width="3.7109375" customWidth="1"/>
    <col min="2" max="2" width="31" customWidth="1"/>
    <col min="3" max="3" width="14.5703125" customWidth="1"/>
    <col min="4" max="4" width="11.42578125" customWidth="1"/>
    <col min="5" max="5" width="15.7109375" customWidth="1"/>
    <col min="6" max="6" width="11.5703125" customWidth="1"/>
    <col min="7" max="7" width="9.7109375" bestFit="1" customWidth="1"/>
    <col min="8" max="8" width="11.7109375" customWidth="1"/>
    <col min="9" max="9" width="10.28515625" customWidth="1"/>
    <col min="10" max="10" width="11.5703125" customWidth="1"/>
    <col min="11" max="11" width="9.28515625" bestFit="1" customWidth="1"/>
    <col min="12" max="12" width="11.85546875" customWidth="1"/>
    <col min="13" max="13" width="11.5703125" customWidth="1"/>
  </cols>
  <sheetData>
    <row r="1" spans="1:13" ht="26.25" customHeight="1">
      <c r="B1" s="11" t="s">
        <v>18</v>
      </c>
      <c r="C1" s="11" t="s">
        <v>44</v>
      </c>
    </row>
    <row r="2" spans="1:13" ht="38.2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 ht="14.1" customHeight="1">
      <c r="A3" s="1">
        <v>1</v>
      </c>
      <c r="B3" s="40" t="str">
        <f>ноябрь!B3</f>
        <v>Содержание общ.имущ.дома</v>
      </c>
      <c r="C3" s="69">
        <f>16264.19+4093.72</f>
        <v>20357.91</v>
      </c>
      <c r="D3" s="19">
        <f>C3+ноябрь!D3</f>
        <v>213111.56000000003</v>
      </c>
      <c r="E3" s="70">
        <f>16164.24+8158.06</f>
        <v>24322.3</v>
      </c>
      <c r="F3" s="19">
        <f>E3+ноябрь!F3</f>
        <v>224089.84</v>
      </c>
      <c r="G3" s="19">
        <f>E3-C3</f>
        <v>3964.3899999999994</v>
      </c>
      <c r="H3" s="20">
        <f>F3-D3</f>
        <v>10978.27999999997</v>
      </c>
      <c r="I3" s="9"/>
      <c r="J3" s="20">
        <f>I3+ноябрь!J3</f>
        <v>0</v>
      </c>
      <c r="K3" s="8"/>
      <c r="L3" s="19">
        <f>ноябрь!L3</f>
        <v>0</v>
      </c>
    </row>
    <row r="4" spans="1:13" ht="14.1" customHeight="1">
      <c r="A4" s="1">
        <f>A3+1</f>
        <v>2</v>
      </c>
      <c r="B4" s="40" t="str">
        <f>ноябрь!B4</f>
        <v>Отопление</v>
      </c>
      <c r="C4" s="69">
        <f>49087.53+12355.39</f>
        <v>61442.92</v>
      </c>
      <c r="D4" s="19">
        <f>C4+ноябрь!D4</f>
        <v>389151.85</v>
      </c>
      <c r="E4" s="70">
        <f>38355.2+18467.75</f>
        <v>56822.95</v>
      </c>
      <c r="F4" s="19">
        <f>E4+ноябрь!F4</f>
        <v>830681.71</v>
      </c>
      <c r="G4" s="19">
        <f t="shared" ref="G4:H22" si="0">E4-C4</f>
        <v>-4619.9700000000012</v>
      </c>
      <c r="H4" s="20">
        <f t="shared" si="0"/>
        <v>441529.86</v>
      </c>
      <c r="I4" s="9"/>
      <c r="J4" s="20">
        <f>I4+ноябрь!J4</f>
        <v>0</v>
      </c>
      <c r="K4" s="8"/>
      <c r="L4" s="19">
        <f>ноябрь!L4</f>
        <v>0</v>
      </c>
      <c r="M4" s="12">
        <f>L4-J4</f>
        <v>0</v>
      </c>
    </row>
    <row r="5" spans="1:13" ht="14.1" customHeight="1">
      <c r="A5" s="1">
        <f t="shared" ref="A5:A20" si="1">A4+1</f>
        <v>3</v>
      </c>
      <c r="B5" s="40" t="str">
        <f>ноябрь!B5</f>
        <v>Горячее водоснабжение</v>
      </c>
      <c r="C5" s="69">
        <f>13494.51+3026.91</f>
        <v>16521.419999999998</v>
      </c>
      <c r="D5" s="19">
        <f>C5+ноябрь!D5</f>
        <v>168284.02999999997</v>
      </c>
      <c r="E5" s="70">
        <f>10816.63+5552.38</f>
        <v>16369.009999999998</v>
      </c>
      <c r="F5" s="19">
        <f>E5+ноябрь!F5</f>
        <v>186039.78000000003</v>
      </c>
      <c r="G5" s="19">
        <f t="shared" si="0"/>
        <v>-152.40999999999985</v>
      </c>
      <c r="H5" s="20">
        <f t="shared" si="0"/>
        <v>17755.750000000058</v>
      </c>
      <c r="I5" s="9"/>
      <c r="J5" s="20">
        <f>I5+ноябрь!J5</f>
        <v>0</v>
      </c>
      <c r="K5" s="8"/>
      <c r="L5" s="19">
        <f>ноябрь!L5</f>
        <v>0</v>
      </c>
    </row>
    <row r="6" spans="1:13" ht="14.1" customHeight="1">
      <c r="A6" s="1">
        <f t="shared" si="1"/>
        <v>4</v>
      </c>
      <c r="B6" s="40" t="str">
        <f>ноябрь!B6</f>
        <v>Газ</v>
      </c>
      <c r="C6" s="54">
        <f>0+0</f>
        <v>0</v>
      </c>
      <c r="D6" s="19">
        <f>C6+ноябрь!D6</f>
        <v>0</v>
      </c>
      <c r="E6" s="54">
        <f>0+0</f>
        <v>0</v>
      </c>
      <c r="F6" s="19">
        <f>E6+ноябрь!F6</f>
        <v>0</v>
      </c>
      <c r="G6" s="19">
        <f t="shared" si="0"/>
        <v>0</v>
      </c>
      <c r="H6" s="20">
        <f t="shared" si="0"/>
        <v>0</v>
      </c>
      <c r="I6" s="9"/>
      <c r="J6" s="20">
        <f>I6+ноябрь!J6</f>
        <v>0</v>
      </c>
      <c r="K6" s="8"/>
      <c r="L6" s="19">
        <f>ноябрь!L6</f>
        <v>0</v>
      </c>
    </row>
    <row r="7" spans="1:13" ht="14.1" customHeight="1">
      <c r="A7" s="1">
        <f t="shared" si="1"/>
        <v>5</v>
      </c>
      <c r="B7" s="40" t="str">
        <f>ноябрь!B7</f>
        <v>Уборка и сан.очистка зем.уч.</v>
      </c>
      <c r="C7" s="69">
        <f>2501.15+629.55</f>
        <v>3130.7</v>
      </c>
      <c r="D7" s="19">
        <f>C7+ноябрь!D7</f>
        <v>31263.110000000004</v>
      </c>
      <c r="E7" s="70">
        <f>2484.96+1195.42</f>
        <v>3680.38</v>
      </c>
      <c r="F7" s="19">
        <f>E7+ноябрь!F7</f>
        <v>32492.84</v>
      </c>
      <c r="G7" s="19">
        <f t="shared" si="0"/>
        <v>549.68000000000029</v>
      </c>
      <c r="H7" s="20">
        <f t="shared" si="0"/>
        <v>1229.7299999999959</v>
      </c>
      <c r="I7" s="9"/>
      <c r="J7" s="20">
        <f>I7+ноябрь!J7</f>
        <v>0</v>
      </c>
      <c r="K7" s="8"/>
      <c r="L7" s="19">
        <f>ноябрь!L7</f>
        <v>0</v>
      </c>
    </row>
    <row r="8" spans="1:13" ht="14.1" customHeight="1">
      <c r="A8" s="1">
        <f t="shared" si="1"/>
        <v>6</v>
      </c>
      <c r="B8" s="40" t="str">
        <f>ноябрь!B8</f>
        <v>Электроснабжение(инд.потр)</v>
      </c>
      <c r="C8" s="69">
        <f>21076.2+5416.2</f>
        <v>26492.400000000001</v>
      </c>
      <c r="D8" s="19">
        <f>C8+ноябрь!D8</f>
        <v>271855.22000000003</v>
      </c>
      <c r="E8" s="70">
        <f>20404.56+10571</f>
        <v>30975.56</v>
      </c>
      <c r="F8" s="19">
        <f>E8+ноябрь!F8</f>
        <v>285821.02</v>
      </c>
      <c r="G8" s="19">
        <f t="shared" si="0"/>
        <v>4483.16</v>
      </c>
      <c r="H8" s="20">
        <f t="shared" si="0"/>
        <v>13965.799999999988</v>
      </c>
      <c r="I8" s="9"/>
      <c r="J8" s="20">
        <f>I8+ноябрь!J8</f>
        <v>0</v>
      </c>
      <c r="K8" s="8"/>
      <c r="L8" s="19">
        <f>ноябрь!L8</f>
        <v>0</v>
      </c>
    </row>
    <row r="9" spans="1:13" ht="14.1" customHeight="1">
      <c r="A9" s="1">
        <f t="shared" si="1"/>
        <v>7</v>
      </c>
      <c r="B9" s="40" t="str">
        <f>ноябрь!B9</f>
        <v>Холодная вода</v>
      </c>
      <c r="C9" s="69">
        <f>5453.63+1326.18</f>
        <v>6779.81</v>
      </c>
      <c r="D9" s="19">
        <f>C9+ноябрь!D9</f>
        <v>70515.98000000001</v>
      </c>
      <c r="E9" s="70">
        <f>5357.02+2262.47</f>
        <v>7619.49</v>
      </c>
      <c r="F9" s="19">
        <f>E9+ноябрь!F9</f>
        <v>75621.59</v>
      </c>
      <c r="G9" s="19">
        <f t="shared" si="0"/>
        <v>839.67999999999938</v>
      </c>
      <c r="H9" s="20">
        <f t="shared" si="0"/>
        <v>5105.609999999986</v>
      </c>
      <c r="I9" s="9"/>
      <c r="J9" s="20">
        <f>I9+ноябрь!J9</f>
        <v>0</v>
      </c>
      <c r="K9" s="8"/>
      <c r="L9" s="19">
        <f>ноябрь!L9</f>
        <v>0</v>
      </c>
    </row>
    <row r="10" spans="1:13" ht="14.1" customHeight="1">
      <c r="A10" s="1">
        <f t="shared" si="1"/>
        <v>8</v>
      </c>
      <c r="B10" s="40" t="str">
        <f>ноябрь!B10</f>
        <v>Канализирование х.воды</v>
      </c>
      <c r="C10" s="54">
        <f>0+0</f>
        <v>0</v>
      </c>
      <c r="D10" s="19">
        <f>C10+ноябрь!D10</f>
        <v>0</v>
      </c>
      <c r="E10" s="54">
        <f>0+0</f>
        <v>0</v>
      </c>
      <c r="F10" s="19">
        <f>E10+ноябрь!F10</f>
        <v>0</v>
      </c>
      <c r="G10" s="19">
        <f t="shared" si="0"/>
        <v>0</v>
      </c>
      <c r="H10" s="20">
        <f t="shared" si="0"/>
        <v>0</v>
      </c>
      <c r="I10" s="9"/>
      <c r="J10" s="20">
        <f>I10+ноябрь!J10</f>
        <v>0</v>
      </c>
      <c r="K10" s="8"/>
      <c r="L10" s="19">
        <f>ноябрь!L10</f>
        <v>0</v>
      </c>
    </row>
    <row r="11" spans="1:13" ht="14.1" customHeight="1">
      <c r="A11" s="1">
        <f t="shared" si="1"/>
        <v>9</v>
      </c>
      <c r="B11" s="40" t="str">
        <f>ноябрь!B11</f>
        <v>Канализирование г.воды</v>
      </c>
      <c r="C11" s="54">
        <f>0+0</f>
        <v>0</v>
      </c>
      <c r="D11" s="19">
        <f>C11+ноябрь!D11</f>
        <v>0</v>
      </c>
      <c r="E11" s="54">
        <f>0+0</f>
        <v>0</v>
      </c>
      <c r="F11" s="19">
        <f>E11+ноябрь!F11</f>
        <v>0</v>
      </c>
      <c r="G11" s="19">
        <f t="shared" si="0"/>
        <v>0</v>
      </c>
      <c r="H11" s="20">
        <f t="shared" si="0"/>
        <v>0</v>
      </c>
      <c r="I11" s="9"/>
      <c r="J11" s="20">
        <f>I11+ноябрь!J11</f>
        <v>0</v>
      </c>
      <c r="K11" s="8"/>
      <c r="L11" s="19">
        <f>ноябрь!L11</f>
        <v>0</v>
      </c>
    </row>
    <row r="12" spans="1:13" ht="14.1" customHeight="1">
      <c r="A12" s="1">
        <f t="shared" si="1"/>
        <v>10</v>
      </c>
      <c r="B12" s="40" t="str">
        <f>ноябрь!B12</f>
        <v>Тек.рем.общ.имущ.дома</v>
      </c>
      <c r="C12" s="69">
        <f>8487.49+2136.29</f>
        <v>10623.779999999999</v>
      </c>
      <c r="D12" s="19">
        <f>C12+ноябрь!D12</f>
        <v>111687.51</v>
      </c>
      <c r="E12" s="70">
        <f>8441.34+4313.91</f>
        <v>12755.25</v>
      </c>
      <c r="F12" s="19">
        <f>E12+ноябрь!F12</f>
        <v>119623.16999999998</v>
      </c>
      <c r="G12" s="19">
        <f t="shared" si="0"/>
        <v>2131.4700000000012</v>
      </c>
      <c r="H12" s="20">
        <f t="shared" si="0"/>
        <v>7935.6599999999889</v>
      </c>
      <c r="I12" s="9"/>
      <c r="J12" s="20">
        <f>I12+ноябрь!J12</f>
        <v>0</v>
      </c>
      <c r="K12" s="8"/>
      <c r="L12" s="19">
        <f>ноябрь!L12</f>
        <v>0</v>
      </c>
    </row>
    <row r="13" spans="1:13" ht="14.1" customHeight="1">
      <c r="A13" s="1">
        <f t="shared" si="1"/>
        <v>11</v>
      </c>
      <c r="B13" s="40" t="str">
        <f>ноябрь!B13</f>
        <v>Сод.и тек.рем.в/дом.газосн</v>
      </c>
      <c r="C13" s="69">
        <f>913.93+222.88</f>
        <v>1136.81</v>
      </c>
      <c r="D13" s="19">
        <f>C13+ноябрь!D13</f>
        <v>12041.339999999997</v>
      </c>
      <c r="E13" s="70">
        <f>899.38+441.92</f>
        <v>1341.3</v>
      </c>
      <c r="F13" s="19">
        <f>E13+ноябрь!F13</f>
        <v>12765.1</v>
      </c>
      <c r="G13" s="19">
        <f t="shared" si="0"/>
        <v>204.49</v>
      </c>
      <c r="H13" s="20">
        <f t="shared" si="0"/>
        <v>723.76000000000386</v>
      </c>
      <c r="I13" s="9"/>
      <c r="J13" s="20">
        <f>I13+ноябрь!J13</f>
        <v>0</v>
      </c>
      <c r="K13" s="8"/>
      <c r="L13" s="19">
        <f>ноябрь!L13</f>
        <v>0</v>
      </c>
    </row>
    <row r="14" spans="1:13" ht="14.1" customHeight="1">
      <c r="A14" s="1">
        <f t="shared" si="1"/>
        <v>12</v>
      </c>
      <c r="B14" s="40" t="str">
        <f>ноябрь!B14</f>
        <v>Управление многокв.домом</v>
      </c>
      <c r="C14" s="69">
        <f>3512.54+884.11</f>
        <v>4396.6499999999996</v>
      </c>
      <c r="D14" s="19">
        <f>C14+ноябрь!D14</f>
        <v>45180.310000000005</v>
      </c>
      <c r="E14" s="70">
        <f>3482.71+1599.33</f>
        <v>5082.04</v>
      </c>
      <c r="F14" s="19">
        <f>E14+ноябрь!F14</f>
        <v>46799.890000000007</v>
      </c>
      <c r="G14" s="19">
        <f t="shared" si="0"/>
        <v>685.39000000000033</v>
      </c>
      <c r="H14" s="20">
        <f t="shared" si="0"/>
        <v>1619.5800000000017</v>
      </c>
      <c r="I14" s="9"/>
      <c r="J14" s="20">
        <f>I14+ноябрь!J14</f>
        <v>0</v>
      </c>
      <c r="K14" s="8"/>
      <c r="L14" s="19">
        <f>ноябрь!L14</f>
        <v>0</v>
      </c>
    </row>
    <row r="15" spans="1:13" ht="14.1" customHeight="1">
      <c r="A15" s="1">
        <f t="shared" si="1"/>
        <v>13</v>
      </c>
      <c r="B15" s="40" t="str">
        <f>ноябрь!B15</f>
        <v>Водоотведение(кв)</v>
      </c>
      <c r="C15" s="69">
        <f>9203.66+2217.36</f>
        <v>11421.02</v>
      </c>
      <c r="D15" s="19">
        <f>C15+ноябрь!D15</f>
        <v>116128.46</v>
      </c>
      <c r="E15" s="70">
        <f>8364.91+4319.84</f>
        <v>12684.75</v>
      </c>
      <c r="F15" s="19">
        <f>E15+ноябрь!F15</f>
        <v>127152.85999999999</v>
      </c>
      <c r="G15" s="19">
        <f t="shared" si="0"/>
        <v>1263.7299999999996</v>
      </c>
      <c r="H15" s="20">
        <f t="shared" si="0"/>
        <v>11024.39999999998</v>
      </c>
      <c r="I15" s="9"/>
      <c r="J15" s="20">
        <f>I15+ноябрь!J15</f>
        <v>0</v>
      </c>
      <c r="K15" s="8"/>
      <c r="L15" s="19">
        <f>ноябрь!L15</f>
        <v>0</v>
      </c>
    </row>
    <row r="16" spans="1:13" ht="14.1" customHeight="1">
      <c r="A16" s="1">
        <f t="shared" si="1"/>
        <v>14</v>
      </c>
      <c r="B16" s="40" t="str">
        <f>ноябрь!B16</f>
        <v>Эксплуатация общед.ПУ</v>
      </c>
      <c r="C16" s="69">
        <f>902.09+227.07</f>
        <v>1129.1600000000001</v>
      </c>
      <c r="D16" s="19">
        <f>C16+ноябрь!D16</f>
        <v>11864.8</v>
      </c>
      <c r="E16" s="70">
        <f>897.21+505.5</f>
        <v>1402.71</v>
      </c>
      <c r="F16" s="19">
        <f>E16+ноябрь!F16</f>
        <v>12688.809999999998</v>
      </c>
      <c r="G16" s="19">
        <f t="shared" si="0"/>
        <v>273.54999999999995</v>
      </c>
      <c r="H16" s="20">
        <f t="shared" si="0"/>
        <v>824.0099999999984</v>
      </c>
      <c r="I16" s="9"/>
      <c r="J16" s="20">
        <f>I16+ноябрь!J16</f>
        <v>0</v>
      </c>
      <c r="K16" s="8"/>
      <c r="L16" s="19">
        <f>ноябрь!L16</f>
        <v>0</v>
      </c>
    </row>
    <row r="17" spans="1:12" ht="14.1" customHeight="1">
      <c r="A17" s="1">
        <f t="shared" si="1"/>
        <v>15</v>
      </c>
      <c r="B17" s="40" t="str">
        <f>ноябрь!B17</f>
        <v>Хол. водоснаб(о/д нужды)</v>
      </c>
      <c r="C17" s="69">
        <f>411+103.58</f>
        <v>514.58000000000004</v>
      </c>
      <c r="D17" s="19">
        <f>C17+ноябрь!D17</f>
        <v>4714.55</v>
      </c>
      <c r="E17" s="70">
        <f>411.87+190.01</f>
        <v>601.88</v>
      </c>
      <c r="F17" s="19">
        <f>E17+ноябрь!F17</f>
        <v>6016.4100000000017</v>
      </c>
      <c r="G17" s="19">
        <f t="shared" si="0"/>
        <v>87.299999999999955</v>
      </c>
      <c r="H17" s="20">
        <f t="shared" si="0"/>
        <v>1301.8600000000015</v>
      </c>
      <c r="I17" s="9"/>
      <c r="J17" s="20">
        <f>I17+ноябрь!J17</f>
        <v>0</v>
      </c>
      <c r="K17" s="8"/>
      <c r="L17" s="19">
        <f>ноябрь!L17</f>
        <v>0</v>
      </c>
    </row>
    <row r="18" spans="1:12" ht="14.1" customHeight="1">
      <c r="A18" s="1">
        <f t="shared" si="1"/>
        <v>16</v>
      </c>
      <c r="B18" s="40" t="str">
        <f>ноябрь!B18</f>
        <v>Водоотведение(о/д нужды)</v>
      </c>
      <c r="C18" s="54">
        <f>0+0</f>
        <v>0</v>
      </c>
      <c r="D18" s="19">
        <f>C18+ноябрь!D18</f>
        <v>0</v>
      </c>
      <c r="E18" s="54">
        <f>0+0</f>
        <v>0</v>
      </c>
      <c r="F18" s="19">
        <f>E18+ноябрь!F18</f>
        <v>0</v>
      </c>
      <c r="G18" s="19">
        <f t="shared" si="0"/>
        <v>0</v>
      </c>
      <c r="H18" s="20">
        <f t="shared" si="0"/>
        <v>0</v>
      </c>
      <c r="I18" s="9"/>
      <c r="J18" s="20">
        <f>I18+ноябрь!J18</f>
        <v>0</v>
      </c>
      <c r="K18" s="8"/>
      <c r="L18" s="19">
        <f>ноябрь!L18</f>
        <v>0</v>
      </c>
    </row>
    <row r="19" spans="1:12" ht="14.1" customHeight="1">
      <c r="A19" s="1">
        <f t="shared" si="1"/>
        <v>17</v>
      </c>
      <c r="B19" s="40" t="str">
        <f>ноябрь!B19</f>
        <v>Отопление(о/д нужды)</v>
      </c>
      <c r="C19" s="54">
        <f>0+0</f>
        <v>0</v>
      </c>
      <c r="D19" s="19">
        <f>C19+ноябрь!D19</f>
        <v>0</v>
      </c>
      <c r="E19" s="70">
        <f>0+25.85</f>
        <v>25.85</v>
      </c>
      <c r="F19" s="19">
        <f>E19+ноябрь!F19</f>
        <v>25.85</v>
      </c>
      <c r="G19" s="19">
        <f t="shared" si="0"/>
        <v>25.85</v>
      </c>
      <c r="H19" s="20">
        <f t="shared" si="0"/>
        <v>25.85</v>
      </c>
      <c r="I19" s="9"/>
      <c r="J19" s="20">
        <f>I19+ноябрь!J19</f>
        <v>0</v>
      </c>
      <c r="K19" s="8"/>
      <c r="L19" s="19">
        <f>ноябрь!L19</f>
        <v>0</v>
      </c>
    </row>
    <row r="20" spans="1:12" ht="14.1" customHeight="1">
      <c r="A20" s="1">
        <f t="shared" si="1"/>
        <v>18</v>
      </c>
      <c r="B20" s="40" t="str">
        <f>ноябрь!B20</f>
        <v>Электроснабжение(общед.нужды)</v>
      </c>
      <c r="C20" s="69">
        <f>7675.59+2571.22+2682.13</f>
        <v>12928.939999999999</v>
      </c>
      <c r="D20" s="19">
        <f>C20+ноябрь!D20</f>
        <v>70962.48</v>
      </c>
      <c r="E20" s="70">
        <f>5301.16+3674.43+243.83</f>
        <v>9219.42</v>
      </c>
      <c r="F20" s="19">
        <f>E20+ноябрь!F20</f>
        <v>77491.719999999987</v>
      </c>
      <c r="G20" s="19">
        <f t="shared" si="0"/>
        <v>-3709.5199999999986</v>
      </c>
      <c r="H20" s="20">
        <f t="shared" si="0"/>
        <v>6529.2399999999907</v>
      </c>
      <c r="I20" s="9"/>
      <c r="J20" s="20">
        <f>I20+ноябрь!J20</f>
        <v>0</v>
      </c>
      <c r="K20" s="8"/>
      <c r="L20" s="19">
        <f>ноябрь!L20</f>
        <v>0</v>
      </c>
    </row>
    <row r="21" spans="1:12" ht="14.1" customHeight="1">
      <c r="A21" s="1">
        <v>19</v>
      </c>
      <c r="B21" s="40" t="str">
        <f>ноябрь!B21</f>
        <v>Капитальный ремонт</v>
      </c>
      <c r="C21" s="54">
        <f>0+0</f>
        <v>0</v>
      </c>
      <c r="D21" s="19">
        <f>C21+ноябрь!D21</f>
        <v>0</v>
      </c>
      <c r="E21" s="54">
        <f>0+0</f>
        <v>0</v>
      </c>
      <c r="F21" s="19">
        <f>E21+ноябрь!F21</f>
        <v>0</v>
      </c>
      <c r="G21" s="19">
        <f t="shared" si="0"/>
        <v>0</v>
      </c>
      <c r="H21" s="20">
        <f t="shared" si="0"/>
        <v>0</v>
      </c>
      <c r="I21" s="9"/>
      <c r="J21" s="20">
        <f>I21+ноябрь!J21</f>
        <v>0</v>
      </c>
      <c r="K21" s="8"/>
      <c r="L21" s="19">
        <f>ноябрь!L21</f>
        <v>0</v>
      </c>
    </row>
    <row r="22" spans="1:12" ht="14.1" customHeight="1">
      <c r="A22" s="1">
        <v>20</v>
      </c>
      <c r="B22" s="40" t="str">
        <f>ноябрь!B22</f>
        <v>Гор. Водоснабж. (о/д нужды)</v>
      </c>
      <c r="C22" s="69">
        <f>917.67+229.66</f>
        <v>1147.33</v>
      </c>
      <c r="D22" s="19">
        <f>C22+ноябрь!D22</f>
        <v>10950.26</v>
      </c>
      <c r="E22" s="70">
        <f>914.86+440.79</f>
        <v>1355.65</v>
      </c>
      <c r="F22" s="19">
        <f>E22+ноябрь!F22</f>
        <v>18084.630000000005</v>
      </c>
      <c r="G22" s="19">
        <f t="shared" si="0"/>
        <v>208.32000000000016</v>
      </c>
      <c r="H22" s="20">
        <f t="shared" si="0"/>
        <v>7134.3700000000044</v>
      </c>
      <c r="I22" s="9"/>
      <c r="J22" s="20">
        <f>I22+ноябрь!J22</f>
        <v>0</v>
      </c>
      <c r="K22" s="8"/>
      <c r="L22" s="19">
        <f>ноябрь!L22</f>
        <v>0</v>
      </c>
    </row>
    <row r="23" spans="1:12" ht="14.1" customHeight="1">
      <c r="A23" s="17"/>
      <c r="B23" s="18" t="s">
        <v>12</v>
      </c>
      <c r="C23" s="71">
        <f t="shared" ref="C23:L23" si="2">SUM(C3:C22)</f>
        <v>178023.42999999996</v>
      </c>
      <c r="D23" s="19">
        <f t="shared" si="2"/>
        <v>1527711.4600000002</v>
      </c>
      <c r="E23" s="72">
        <f t="shared" si="2"/>
        <v>184258.54</v>
      </c>
      <c r="F23" s="19">
        <f t="shared" si="2"/>
        <v>2055395.2200000002</v>
      </c>
      <c r="G23" s="19">
        <f t="shared" si="2"/>
        <v>6235.1099999999988</v>
      </c>
      <c r="H23" s="20">
        <f t="shared" si="2"/>
        <v>527683.75999999989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5" spans="1:12">
      <c r="B25" s="41" t="s">
        <v>35</v>
      </c>
      <c r="C25" s="9">
        <f t="shared" ref="C25:H25" si="3">C3+C7+C12+C13+C14+C16</f>
        <v>40775.01</v>
      </c>
      <c r="D25" s="9">
        <f t="shared" si="3"/>
        <v>425148.63</v>
      </c>
      <c r="E25" s="9">
        <f t="shared" si="3"/>
        <v>48583.98</v>
      </c>
      <c r="F25" s="9">
        <f t="shared" si="3"/>
        <v>448459.64999999997</v>
      </c>
      <c r="G25" s="9">
        <f t="shared" si="3"/>
        <v>7808.9700000000012</v>
      </c>
      <c r="H25" s="9">
        <f t="shared" si="3"/>
        <v>23311.019999999957</v>
      </c>
    </row>
    <row r="26" spans="1:12">
      <c r="B26" s="42" t="s">
        <v>37</v>
      </c>
      <c r="C26" s="43">
        <f>C9+C10+C11+C15+C17+C18</f>
        <v>18715.410000000003</v>
      </c>
      <c r="D26" s="43">
        <f>D9+D10+D11+D15+D17+D18</f>
        <v>191358.99</v>
      </c>
      <c r="E26" s="43">
        <f t="shared" ref="E26:H26" si="4">E9+E10+E11+E15+E17+E18</f>
        <v>20906.12</v>
      </c>
      <c r="F26" s="43">
        <f t="shared" si="4"/>
        <v>208790.86</v>
      </c>
      <c r="G26" s="43">
        <f t="shared" si="4"/>
        <v>2190.7099999999991</v>
      </c>
      <c r="H26" s="43">
        <f t="shared" si="4"/>
        <v>17431.869999999966</v>
      </c>
      <c r="I26" s="43">
        <f t="shared" ref="I26:J26" si="5">I9+I10+I11+I15+I17+I18</f>
        <v>0</v>
      </c>
      <c r="J26" s="43">
        <f t="shared" si="5"/>
        <v>0</v>
      </c>
    </row>
    <row r="27" spans="1:12">
      <c r="B27" s="42" t="s">
        <v>38</v>
      </c>
      <c r="C27" s="43">
        <f>C8+C20</f>
        <v>39421.339999999997</v>
      </c>
      <c r="D27" s="43">
        <f>D8+D20</f>
        <v>342817.7</v>
      </c>
      <c r="E27" s="43">
        <f t="shared" ref="E27:H27" si="6">E8+E20</f>
        <v>40194.980000000003</v>
      </c>
      <c r="F27" s="43">
        <f t="shared" si="6"/>
        <v>363312.74</v>
      </c>
      <c r="G27" s="43">
        <f t="shared" si="6"/>
        <v>773.64000000000124</v>
      </c>
      <c r="H27" s="43">
        <f t="shared" si="6"/>
        <v>20495.039999999979</v>
      </c>
      <c r="I27" s="43">
        <f t="shared" ref="I27:J27" si="7">I8+I20</f>
        <v>0</v>
      </c>
      <c r="J27" s="43">
        <f t="shared" si="7"/>
        <v>0</v>
      </c>
    </row>
    <row r="28" spans="1:12">
      <c r="B28" s="42" t="s">
        <v>39</v>
      </c>
      <c r="C28" s="43">
        <f>C4+C5+C19+C22</f>
        <v>79111.67</v>
      </c>
      <c r="D28" s="43">
        <f t="shared" ref="D28:J28" si="8">D4+D5+D19+D22</f>
        <v>568386.1399999999</v>
      </c>
      <c r="E28" s="43">
        <f t="shared" si="8"/>
        <v>74573.459999999992</v>
      </c>
      <c r="F28" s="43">
        <f t="shared" si="8"/>
        <v>1034831.97</v>
      </c>
      <c r="G28" s="43">
        <f t="shared" si="8"/>
        <v>-4538.2100000000009</v>
      </c>
      <c r="H28" s="43">
        <f t="shared" si="8"/>
        <v>466445.83</v>
      </c>
      <c r="I28" s="43">
        <f t="shared" si="8"/>
        <v>0</v>
      </c>
      <c r="J28" s="43">
        <f t="shared" si="8"/>
        <v>0</v>
      </c>
    </row>
    <row r="31" spans="1:12">
      <c r="C31" s="65">
        <v>142583.31</v>
      </c>
      <c r="D31" s="65"/>
      <c r="E31" s="65">
        <v>122539.88</v>
      </c>
    </row>
    <row r="32" spans="1:12">
      <c r="C32" s="65">
        <v>35620.120000000003</v>
      </c>
      <c r="D32" s="65"/>
      <c r="E32" s="65">
        <v>61718.66</v>
      </c>
    </row>
    <row r="33" spans="3:5">
      <c r="C33" s="66">
        <f>C31+C32</f>
        <v>178203.43</v>
      </c>
      <c r="D33" s="66">
        <f t="shared" ref="D33:E33" si="9">D31+D32</f>
        <v>0</v>
      </c>
      <c r="E33" s="66">
        <f t="shared" si="9"/>
        <v>184258.54</v>
      </c>
    </row>
    <row r="34" spans="3:5">
      <c r="C34" s="65"/>
      <c r="D34" s="65"/>
      <c r="E34" s="65"/>
    </row>
    <row r="35" spans="3:5">
      <c r="C35" s="65"/>
      <c r="D35" s="65"/>
      <c r="E35" s="65"/>
    </row>
    <row r="36" spans="3:5">
      <c r="C36" s="65"/>
      <c r="D36" s="65"/>
      <c r="E36" s="65"/>
    </row>
    <row r="37" spans="3:5">
      <c r="C37" s="65"/>
      <c r="D37" s="65"/>
      <c r="E37" s="6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D12" sqref="D12"/>
    </sheetView>
  </sheetViews>
  <sheetFormatPr defaultRowHeight="12.75"/>
  <cols>
    <col min="1" max="1" width="4.140625" customWidth="1"/>
    <col min="2" max="2" width="21" customWidth="1"/>
    <col min="4" max="4" width="13.28515625" customWidth="1"/>
    <col min="6" max="6" width="14.85546875" customWidth="1"/>
    <col min="8" max="8" width="17.85546875" customWidth="1"/>
    <col min="10" max="10" width="15.7109375" customWidth="1"/>
    <col min="12" max="12" width="15.85546875" customWidth="1"/>
  </cols>
  <sheetData>
    <row r="3" spans="1:12">
      <c r="A3" s="1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5" t="s">
        <v>10</v>
      </c>
      <c r="L3" s="5" t="s">
        <v>11</v>
      </c>
    </row>
    <row r="4" spans="1:12">
      <c r="A4" s="1">
        <v>1</v>
      </c>
      <c r="B4" s="7" t="s">
        <v>14</v>
      </c>
      <c r="C4" s="3">
        <f>37433.35+20303.28</f>
        <v>57736.63</v>
      </c>
      <c r="D4" s="3" t="e">
        <f>#REF!+Январь!C4</f>
        <v>#REF!</v>
      </c>
      <c r="E4" s="2">
        <f>25078.04+5600.74</f>
        <v>30678.78</v>
      </c>
      <c r="F4" s="3" t="e">
        <f>#REF!+Январь!E4</f>
        <v>#REF!</v>
      </c>
      <c r="G4" s="3">
        <f>E4-C4</f>
        <v>-27057.85</v>
      </c>
      <c r="H4" s="2" t="e">
        <f>F4-D4</f>
        <v>#REF!</v>
      </c>
      <c r="I4" s="2"/>
      <c r="J4" s="2" t="e">
        <f>#REF!+Январь!I4</f>
        <v>#REF!</v>
      </c>
      <c r="K4" s="3"/>
      <c r="L4" s="3" t="e">
        <f>K4+#REF!</f>
        <v>#REF!</v>
      </c>
    </row>
    <row r="5" spans="1:12">
      <c r="A5" s="1">
        <f>A4+1</f>
        <v>2</v>
      </c>
      <c r="B5" s="7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>
      <c r="A6" s="1">
        <f t="shared" ref="A6:A23" si="0">A5+1</f>
        <v>3</v>
      </c>
      <c r="B6" s="7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>
      <c r="A7" s="1">
        <f t="shared" si="0"/>
        <v>4</v>
      </c>
      <c r="B7" s="7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>
      <c r="A8" s="1">
        <f t="shared" si="0"/>
        <v>5</v>
      </c>
      <c r="B8" s="7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>
      <c r="A9" s="1">
        <f t="shared" si="0"/>
        <v>6</v>
      </c>
      <c r="B9" s="7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>
      <c r="A10" s="1">
        <f t="shared" si="0"/>
        <v>7</v>
      </c>
      <c r="B10" s="7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>
      <c r="A11" s="1">
        <f t="shared" si="0"/>
        <v>8</v>
      </c>
      <c r="B11" s="7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>
      <c r="A12" s="1">
        <f t="shared" si="0"/>
        <v>9</v>
      </c>
      <c r="B12" s="7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>
      <c r="A13" s="1">
        <f t="shared" si="0"/>
        <v>10</v>
      </c>
      <c r="B13" s="7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>
      <c r="A14" s="1">
        <f t="shared" si="0"/>
        <v>11</v>
      </c>
      <c r="B14" s="7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>
      <c r="A15" s="1">
        <f t="shared" si="0"/>
        <v>12</v>
      </c>
      <c r="B15" s="7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>
      <c r="A16" s="1">
        <f t="shared" si="0"/>
        <v>13</v>
      </c>
      <c r="B16" s="7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>
      <c r="A17" s="1">
        <f t="shared" si="0"/>
        <v>14</v>
      </c>
      <c r="B17" s="7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>
      <c r="A18" s="1">
        <f t="shared" si="0"/>
        <v>15</v>
      </c>
      <c r="B18" s="7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>
      <c r="A19" s="1">
        <f t="shared" si="0"/>
        <v>16</v>
      </c>
      <c r="B19" s="7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>
      <c r="A20" s="1">
        <f t="shared" si="0"/>
        <v>17</v>
      </c>
      <c r="B20" s="7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>
      <c r="A21" s="1">
        <f t="shared" si="0"/>
        <v>18</v>
      </c>
      <c r="B21" s="7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>
      <c r="A22" s="1">
        <f t="shared" si="0"/>
        <v>19</v>
      </c>
      <c r="B22" s="7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>
      <c r="A23" s="1">
        <f t="shared" si="0"/>
        <v>20</v>
      </c>
      <c r="B23" s="7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>
      <c r="A24" s="1"/>
      <c r="B24" s="7" t="s">
        <v>12</v>
      </c>
      <c r="C24" s="3">
        <f t="shared" ref="C24:L24" si="1">SUM(C4:C23)</f>
        <v>57736.63</v>
      </c>
      <c r="D24" s="3" t="e">
        <f t="shared" si="1"/>
        <v>#REF!</v>
      </c>
      <c r="E24" s="2">
        <f t="shared" si="1"/>
        <v>30678.78</v>
      </c>
      <c r="F24" s="3" t="e">
        <f t="shared" si="1"/>
        <v>#REF!</v>
      </c>
      <c r="G24" s="3">
        <f t="shared" si="1"/>
        <v>-27057.85</v>
      </c>
      <c r="H24" s="2" t="e">
        <f t="shared" si="1"/>
        <v>#REF!</v>
      </c>
      <c r="I24" s="2">
        <f t="shared" si="1"/>
        <v>0</v>
      </c>
      <c r="J24" s="2" t="e">
        <f t="shared" si="1"/>
        <v>#REF!</v>
      </c>
      <c r="K24" s="3">
        <f t="shared" si="1"/>
        <v>0</v>
      </c>
      <c r="L24" s="3" t="e">
        <f t="shared" si="1"/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opLeftCell="B1" workbookViewId="0">
      <selection activeCell="G34" sqref="G34"/>
    </sheetView>
  </sheetViews>
  <sheetFormatPr defaultRowHeight="12.75"/>
  <cols>
    <col min="1" max="1" width="5.7109375" customWidth="1"/>
    <col min="2" max="2" width="30" customWidth="1"/>
    <col min="3" max="3" width="11.42578125" customWidth="1"/>
    <col min="4" max="4" width="10" customWidth="1"/>
    <col min="5" max="5" width="10.85546875" customWidth="1"/>
    <col min="6" max="6" width="12" customWidth="1"/>
    <col min="7" max="7" width="9.7109375" bestFit="1" customWidth="1"/>
    <col min="8" max="8" width="12.28515625" customWidth="1"/>
    <col min="9" max="9" width="10.28515625" customWidth="1"/>
    <col min="10" max="10" width="11.28515625" customWidth="1"/>
    <col min="11" max="11" width="10.140625" bestFit="1" customWidth="1"/>
    <col min="12" max="12" width="10.42578125" customWidth="1"/>
    <col min="13" max="13" width="11.140625" customWidth="1"/>
  </cols>
  <sheetData>
    <row r="1" spans="1:13">
      <c r="E1" t="s">
        <v>20</v>
      </c>
    </row>
    <row r="2" spans="1:13" s="30" customFormat="1" ht="38.2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>
      <c r="A3" s="1">
        <v>1</v>
      </c>
      <c r="B3" s="40" t="str">
        <f>Январь!B3</f>
        <v>Содержание общ.имущ.дома</v>
      </c>
      <c r="C3" s="8">
        <f>1238.13+15143.5</f>
        <v>16381.630000000001</v>
      </c>
      <c r="D3" s="19">
        <f>C3+Январь!D3</f>
        <v>35336.78</v>
      </c>
      <c r="E3" s="9">
        <f>2825.81+12310.74</f>
        <v>15136.55</v>
      </c>
      <c r="F3" s="19">
        <f>E3+Январь!F3</f>
        <v>35716.43</v>
      </c>
      <c r="G3" s="19">
        <f>E3-C3</f>
        <v>-1245.0800000000017</v>
      </c>
      <c r="H3" s="20">
        <f>F3-D3</f>
        <v>379.65000000000146</v>
      </c>
      <c r="I3" s="9"/>
      <c r="J3" s="20">
        <f>I3+Январь!J3</f>
        <v>0</v>
      </c>
      <c r="K3" s="8"/>
      <c r="L3" s="19">
        <f>K3+Январь!L3</f>
        <v>0</v>
      </c>
    </row>
    <row r="4" spans="1:13">
      <c r="A4" s="1">
        <f>A3+1</f>
        <v>2</v>
      </c>
      <c r="B4" s="40" t="str">
        <f>Январь!B4</f>
        <v>Отопление</v>
      </c>
      <c r="C4" s="8">
        <f>7048.46+59286.49</f>
        <v>66334.95</v>
      </c>
      <c r="D4" s="19">
        <f>C4+Январь!D4</f>
        <v>144868.84</v>
      </c>
      <c r="E4" s="9">
        <f>11955.96+49020.24</f>
        <v>60976.2</v>
      </c>
      <c r="F4" s="19">
        <f>E4+Январь!F4</f>
        <v>127071.62999999999</v>
      </c>
      <c r="G4" s="19">
        <f t="shared" ref="G4:H22" si="0">E4-C4</f>
        <v>-5358.75</v>
      </c>
      <c r="H4" s="20">
        <f t="shared" si="0"/>
        <v>-17797.210000000006</v>
      </c>
      <c r="I4" s="9"/>
      <c r="J4" s="20">
        <f>I4+Январь!J4</f>
        <v>0</v>
      </c>
      <c r="K4" s="8"/>
      <c r="L4" s="19">
        <f>K4+Январь!L4</f>
        <v>0</v>
      </c>
      <c r="M4" s="12">
        <f>L4-J4</f>
        <v>0</v>
      </c>
    </row>
    <row r="5" spans="1:13">
      <c r="A5" s="1">
        <f t="shared" ref="A5:A22" si="1">A4+1</f>
        <v>3</v>
      </c>
      <c r="B5" s="40" t="str">
        <f>Январь!B5</f>
        <v>Горячее водоснабжение</v>
      </c>
      <c r="C5" s="8">
        <f>1075.83+13242.26</f>
        <v>14318.09</v>
      </c>
      <c r="D5" s="19">
        <f>C5+Январь!D5</f>
        <v>32474.04</v>
      </c>
      <c r="E5" s="9">
        <f>3031.96+10017.63</f>
        <v>13049.59</v>
      </c>
      <c r="F5" s="19">
        <f>E5+Январь!F5</f>
        <v>28996.309999999998</v>
      </c>
      <c r="G5" s="19">
        <f t="shared" si="0"/>
        <v>-1268.5</v>
      </c>
      <c r="H5" s="20">
        <f t="shared" si="0"/>
        <v>-3477.7300000000032</v>
      </c>
      <c r="I5" s="9"/>
      <c r="J5" s="20">
        <f>I5+Январь!J5</f>
        <v>0</v>
      </c>
      <c r="K5" s="8"/>
      <c r="L5" s="19">
        <f>K5+Январь!L5</f>
        <v>0</v>
      </c>
    </row>
    <row r="6" spans="1:13">
      <c r="A6" s="1">
        <f t="shared" si="1"/>
        <v>4</v>
      </c>
      <c r="B6" s="40" t="str">
        <f>Январь!B6</f>
        <v>Газ</v>
      </c>
      <c r="C6" s="8">
        <v>0</v>
      </c>
      <c r="D6" s="19">
        <f>C6+Январь!D6</f>
        <v>0</v>
      </c>
      <c r="E6" s="9">
        <v>0</v>
      </c>
      <c r="F6" s="19">
        <f>E6+Январь!F6</f>
        <v>0</v>
      </c>
      <c r="G6" s="19">
        <f t="shared" si="0"/>
        <v>0</v>
      </c>
      <c r="H6" s="20">
        <f t="shared" si="0"/>
        <v>0</v>
      </c>
      <c r="I6" s="9"/>
      <c r="J6" s="20">
        <f>I6+Январь!J6</f>
        <v>0</v>
      </c>
      <c r="K6" s="8"/>
      <c r="L6" s="19">
        <f>K6+Январь!L6</f>
        <v>0</v>
      </c>
    </row>
    <row r="7" spans="1:13">
      <c r="A7" s="1">
        <f t="shared" si="1"/>
        <v>5</v>
      </c>
      <c r="B7" s="40" t="str">
        <f>Январь!B7</f>
        <v>Уборка и сан.очистка зем.уч.</v>
      </c>
      <c r="C7" s="8">
        <f>159.83+2077.47</f>
        <v>2237.2999999999997</v>
      </c>
      <c r="D7" s="19">
        <f>C7+Январь!D7</f>
        <v>4837.66</v>
      </c>
      <c r="E7" s="9">
        <f>391.12+1700.79</f>
        <v>2091.91</v>
      </c>
      <c r="F7" s="19">
        <f>E7+Январь!F7</f>
        <v>4988.0499999999993</v>
      </c>
      <c r="G7" s="19">
        <f t="shared" si="0"/>
        <v>-145.38999999999987</v>
      </c>
      <c r="H7" s="20">
        <f t="shared" si="0"/>
        <v>150.38999999999942</v>
      </c>
      <c r="I7" s="9"/>
      <c r="J7" s="20">
        <f>I7+Январь!J7</f>
        <v>0</v>
      </c>
      <c r="K7" s="8"/>
      <c r="L7" s="19">
        <f>K7+Январь!L7</f>
        <v>0</v>
      </c>
    </row>
    <row r="8" spans="1:13">
      <c r="A8" s="1">
        <f t="shared" si="1"/>
        <v>6</v>
      </c>
      <c r="B8" s="40" t="str">
        <f>Январь!B8</f>
        <v>Электроснабжение(инд.потр)</v>
      </c>
      <c r="C8" s="8">
        <f>1617.84+18741.54</f>
        <v>20359.38</v>
      </c>
      <c r="D8" s="19">
        <f>C8+Январь!D8</f>
        <v>43562.18</v>
      </c>
      <c r="E8" s="9">
        <f>3677.4+14176.5</f>
        <v>17853.900000000001</v>
      </c>
      <c r="F8" s="19">
        <f>E8+Январь!F8</f>
        <v>45258.080000000002</v>
      </c>
      <c r="G8" s="19">
        <f t="shared" si="0"/>
        <v>-2505.4799999999996</v>
      </c>
      <c r="H8" s="20">
        <f t="shared" si="0"/>
        <v>1695.9000000000015</v>
      </c>
      <c r="I8" s="9"/>
      <c r="J8" s="20">
        <f>I8+Январь!J8</f>
        <v>0</v>
      </c>
      <c r="K8" s="8"/>
      <c r="L8" s="19">
        <f>K8+Январь!L8</f>
        <v>0</v>
      </c>
    </row>
    <row r="9" spans="1:13">
      <c r="A9" s="1">
        <f t="shared" si="1"/>
        <v>7</v>
      </c>
      <c r="B9" s="40" t="str">
        <f>Январь!B9</f>
        <v>Холодная вода</v>
      </c>
      <c r="C9" s="8">
        <f>298.41+4777.14</f>
        <v>5075.55</v>
      </c>
      <c r="D9" s="19">
        <f>C9+Январь!D9</f>
        <v>10586.46</v>
      </c>
      <c r="E9" s="9">
        <f>840.01+3492.47</f>
        <v>4332.4799999999996</v>
      </c>
      <c r="F9" s="19">
        <f>E9+Январь!F9</f>
        <v>10002.43</v>
      </c>
      <c r="G9" s="19">
        <f t="shared" si="0"/>
        <v>-743.07000000000062</v>
      </c>
      <c r="H9" s="20">
        <f t="shared" si="0"/>
        <v>-584.02999999999884</v>
      </c>
      <c r="I9" s="9"/>
      <c r="J9" s="20">
        <f>I9+Январь!J9</f>
        <v>0</v>
      </c>
      <c r="K9" s="8"/>
      <c r="L9" s="19">
        <f>K9+Январь!L9</f>
        <v>0</v>
      </c>
      <c r="M9" s="12"/>
    </row>
    <row r="10" spans="1:13">
      <c r="A10" s="1">
        <f t="shared" si="1"/>
        <v>8</v>
      </c>
      <c r="B10" s="40" t="str">
        <f>Январь!B10</f>
        <v>Канализирование х.воды</v>
      </c>
      <c r="C10" s="8">
        <v>0</v>
      </c>
      <c r="D10" s="19">
        <f>C10+Январь!D10</f>
        <v>0</v>
      </c>
      <c r="E10" s="9">
        <v>0</v>
      </c>
      <c r="F10" s="19">
        <f>E10+Январь!F10</f>
        <v>0</v>
      </c>
      <c r="G10" s="19">
        <f t="shared" si="0"/>
        <v>0</v>
      </c>
      <c r="H10" s="20">
        <f t="shared" si="0"/>
        <v>0</v>
      </c>
      <c r="I10" s="9"/>
      <c r="J10" s="20">
        <f>I10+Январь!J10</f>
        <v>0</v>
      </c>
      <c r="K10" s="8"/>
      <c r="L10" s="19">
        <f>K10+Январь!L10</f>
        <v>0</v>
      </c>
    </row>
    <row r="11" spans="1:13">
      <c r="A11" s="1">
        <f t="shared" si="1"/>
        <v>9</v>
      </c>
      <c r="B11" s="40" t="str">
        <f>Январь!B11</f>
        <v>Канализирование г.воды</v>
      </c>
      <c r="C11" s="8">
        <v>0</v>
      </c>
      <c r="D11" s="19">
        <f>C11+Январь!D11</f>
        <v>0</v>
      </c>
      <c r="E11" s="9">
        <v>0</v>
      </c>
      <c r="F11" s="19">
        <f>E11+Январь!F11</f>
        <v>0</v>
      </c>
      <c r="G11" s="19">
        <f t="shared" si="0"/>
        <v>0</v>
      </c>
      <c r="H11" s="20">
        <f t="shared" si="0"/>
        <v>0</v>
      </c>
      <c r="I11" s="9"/>
      <c r="J11" s="20">
        <f>I11+Январь!J11</f>
        <v>0</v>
      </c>
      <c r="K11" s="8"/>
      <c r="L11" s="19">
        <f>K11+Январь!L11</f>
        <v>0</v>
      </c>
    </row>
    <row r="12" spans="1:13">
      <c r="A12" s="1">
        <f t="shared" si="1"/>
        <v>10</v>
      </c>
      <c r="B12" s="40" t="str">
        <f>Январь!B12</f>
        <v>Тек.рем.общ.имущ.дома</v>
      </c>
      <c r="C12" s="8">
        <f>599.67+7981.75</f>
        <v>8581.42</v>
      </c>
      <c r="D12" s="19">
        <f>C12+Январь!D12</f>
        <v>18572.190000000002</v>
      </c>
      <c r="E12" s="9">
        <f>1502.76+6730.94</f>
        <v>8233.6999999999989</v>
      </c>
      <c r="F12" s="19">
        <f>E12+Январь!F12</f>
        <v>20392.439999999999</v>
      </c>
      <c r="G12" s="19">
        <f t="shared" si="0"/>
        <v>-347.72000000000116</v>
      </c>
      <c r="H12" s="20">
        <f t="shared" si="0"/>
        <v>1820.2499999999964</v>
      </c>
      <c r="I12" s="9"/>
      <c r="J12" s="20">
        <f>I12+Январь!J12</f>
        <v>0</v>
      </c>
      <c r="K12" s="8"/>
      <c r="L12" s="19">
        <f>K12+Январь!L12</f>
        <v>0</v>
      </c>
    </row>
    <row r="13" spans="1:13">
      <c r="A13" s="1">
        <f t="shared" si="1"/>
        <v>11</v>
      </c>
      <c r="B13" s="40" t="str">
        <f>Январь!B13</f>
        <v>Сод.и тек.рем.в/дом.газосн</v>
      </c>
      <c r="C13" s="8">
        <f>56.83+873.67</f>
        <v>930.5</v>
      </c>
      <c r="D13" s="19">
        <f>C13+Январь!D13</f>
        <v>2017.21</v>
      </c>
      <c r="E13" s="9">
        <f>167.26+694.5</f>
        <v>861.76</v>
      </c>
      <c r="F13" s="19">
        <f>E13+Январь!F13</f>
        <v>2063.17</v>
      </c>
      <c r="G13" s="19">
        <f t="shared" si="0"/>
        <v>-68.740000000000009</v>
      </c>
      <c r="H13" s="20">
        <f t="shared" si="0"/>
        <v>45.960000000000036</v>
      </c>
      <c r="I13" s="9"/>
      <c r="J13" s="20">
        <f>I13+Январь!J13</f>
        <v>0</v>
      </c>
      <c r="K13" s="8"/>
      <c r="L13" s="19">
        <f>K13+Январь!L13</f>
        <v>0</v>
      </c>
    </row>
    <row r="14" spans="1:13">
      <c r="A14" s="1">
        <f t="shared" si="1"/>
        <v>12</v>
      </c>
      <c r="B14" s="40" t="str">
        <f>Январь!B14</f>
        <v>Управление многокв.домом</v>
      </c>
      <c r="C14" s="8">
        <f>329.1+3129.85</f>
        <v>3458.95</v>
      </c>
      <c r="D14" s="19">
        <f>C14+Январь!D14</f>
        <v>7376.59</v>
      </c>
      <c r="E14" s="9">
        <f>589.27+2562.33</f>
        <v>3151.6</v>
      </c>
      <c r="F14" s="19">
        <f>E14+Январь!F14</f>
        <v>7449.0399999999991</v>
      </c>
      <c r="G14" s="19">
        <f t="shared" si="0"/>
        <v>-307.34999999999991</v>
      </c>
      <c r="H14" s="20">
        <f t="shared" si="0"/>
        <v>72.449999999998909</v>
      </c>
      <c r="I14" s="9"/>
      <c r="J14" s="20">
        <f>I14+Январь!J14</f>
        <v>0</v>
      </c>
      <c r="K14" s="8"/>
      <c r="L14" s="19">
        <f>K14+Январь!L14</f>
        <v>0</v>
      </c>
    </row>
    <row r="15" spans="1:13">
      <c r="A15" s="1">
        <f t="shared" si="1"/>
        <v>13</v>
      </c>
      <c r="B15" s="40" t="str">
        <f>Январь!B15</f>
        <v>Водоотведение(кв)</v>
      </c>
      <c r="C15" s="8">
        <f>316.24+8238.78</f>
        <v>8555.02</v>
      </c>
      <c r="D15" s="19">
        <f>C15+Январь!D15</f>
        <v>18822.43</v>
      </c>
      <c r="E15" s="9">
        <f>1632.6+6156.11</f>
        <v>7788.7099999999991</v>
      </c>
      <c r="F15" s="19">
        <f>E15+Январь!F15</f>
        <v>17784.61</v>
      </c>
      <c r="G15" s="19">
        <f t="shared" si="0"/>
        <v>-766.31000000000131</v>
      </c>
      <c r="H15" s="20">
        <f t="shared" si="0"/>
        <v>-1037.8199999999997</v>
      </c>
      <c r="I15" s="9"/>
      <c r="J15" s="20">
        <f>I15+Январь!J15</f>
        <v>0</v>
      </c>
      <c r="K15" s="8"/>
      <c r="L15" s="19">
        <f>K15+Январь!L15</f>
        <v>0</v>
      </c>
    </row>
    <row r="16" spans="1:13">
      <c r="A16" s="1">
        <f t="shared" si="1"/>
        <v>14</v>
      </c>
      <c r="B16" s="40" t="str">
        <f>Январь!B16</f>
        <v>Эксплуатация общед.ПУ</v>
      </c>
      <c r="C16" s="8">
        <f>32.37+847.35</f>
        <v>879.72</v>
      </c>
      <c r="D16" s="19">
        <f>C16+Январь!D16</f>
        <v>1940.3500000000001</v>
      </c>
      <c r="E16" s="9">
        <f>159.53+693.67</f>
        <v>853.19999999999993</v>
      </c>
      <c r="F16" s="19">
        <f>E16+Январь!F16</f>
        <v>2035.5699999999997</v>
      </c>
      <c r="G16" s="19">
        <f t="shared" si="0"/>
        <v>-26.520000000000095</v>
      </c>
      <c r="H16" s="20">
        <f t="shared" si="0"/>
        <v>95.219999999999573</v>
      </c>
      <c r="I16" s="9"/>
      <c r="J16" s="20">
        <f>I16+Январь!J16</f>
        <v>0</v>
      </c>
      <c r="K16" s="8"/>
      <c r="L16" s="19">
        <f>K16+Январь!L16</f>
        <v>0</v>
      </c>
    </row>
    <row r="17" spans="1:12">
      <c r="A17" s="1">
        <f t="shared" si="1"/>
        <v>15</v>
      </c>
      <c r="B17" s="40" t="str">
        <f>Январь!B17</f>
        <v>Хол. водоснаб(о/д нужды)</v>
      </c>
      <c r="C17" s="8">
        <f>-14.76+243.91</f>
        <v>229.15</v>
      </c>
      <c r="D17" s="19">
        <f>C17+Январь!D17</f>
        <v>534.37</v>
      </c>
      <c r="E17" s="9">
        <f>109.68+387.5</f>
        <v>497.18</v>
      </c>
      <c r="F17" s="19">
        <f>E17+Январь!F17</f>
        <v>1738.69</v>
      </c>
      <c r="G17" s="19">
        <f t="shared" si="0"/>
        <v>268.02999999999997</v>
      </c>
      <c r="H17" s="20">
        <f t="shared" si="0"/>
        <v>1204.3200000000002</v>
      </c>
      <c r="I17" s="9"/>
      <c r="J17" s="20">
        <f>I17+Январь!J17</f>
        <v>0</v>
      </c>
      <c r="K17" s="8"/>
      <c r="L17" s="19">
        <f>K17+Январь!L17</f>
        <v>0</v>
      </c>
    </row>
    <row r="18" spans="1:12">
      <c r="A18" s="1">
        <f t="shared" si="1"/>
        <v>16</v>
      </c>
      <c r="B18" s="40" t="str">
        <f>Январь!B18</f>
        <v>Водоотведение(о/д нужды)</v>
      </c>
      <c r="C18" s="8">
        <v>0</v>
      </c>
      <c r="D18" s="19">
        <f>C18+Январь!D18</f>
        <v>0</v>
      </c>
      <c r="E18" s="9">
        <v>0</v>
      </c>
      <c r="F18" s="19">
        <f>E18+Январь!F18</f>
        <v>0</v>
      </c>
      <c r="G18" s="19">
        <f t="shared" si="0"/>
        <v>0</v>
      </c>
      <c r="H18" s="20">
        <f t="shared" si="0"/>
        <v>0</v>
      </c>
      <c r="I18" s="9"/>
      <c r="J18" s="20">
        <f>I18+Январь!J18</f>
        <v>0</v>
      </c>
      <c r="K18" s="8"/>
      <c r="L18" s="19">
        <f>K18+Январь!L18</f>
        <v>0</v>
      </c>
    </row>
    <row r="19" spans="1:12" ht="16.5" customHeight="1">
      <c r="A19" s="1">
        <f t="shared" si="1"/>
        <v>17</v>
      </c>
      <c r="B19" s="40" t="str">
        <f>Январь!B19</f>
        <v>Отопление(о/д нужды)</v>
      </c>
      <c r="C19" s="8">
        <v>0</v>
      </c>
      <c r="D19" s="19">
        <f>C19+Январь!D19</f>
        <v>0</v>
      </c>
      <c r="E19" s="9">
        <v>0</v>
      </c>
      <c r="F19" s="19">
        <f>E19+Январь!F19</f>
        <v>0</v>
      </c>
      <c r="G19" s="19">
        <f t="shared" si="0"/>
        <v>0</v>
      </c>
      <c r="H19" s="20">
        <f t="shared" si="0"/>
        <v>0</v>
      </c>
      <c r="I19" s="9"/>
      <c r="J19" s="20">
        <f>I19+Январь!J19</f>
        <v>0</v>
      </c>
      <c r="K19" s="9"/>
      <c r="L19" s="19">
        <f>K19+Январь!L19</f>
        <v>0</v>
      </c>
    </row>
    <row r="20" spans="1:12" ht="15" customHeight="1">
      <c r="A20" s="1">
        <f t="shared" si="1"/>
        <v>18</v>
      </c>
      <c r="B20" s="40" t="str">
        <f>Январь!B20</f>
        <v>Электроснабжение(общед.нужды)</v>
      </c>
      <c r="C20" s="8">
        <f>1636.5+8988.86</f>
        <v>10625.36</v>
      </c>
      <c r="D20" s="19">
        <f>C20+Январь!D20</f>
        <v>11559.720000000001</v>
      </c>
      <c r="E20" s="9">
        <f>862.65+1479.28</f>
        <v>2341.9299999999998</v>
      </c>
      <c r="F20" s="19">
        <f>E20+Январь!F20</f>
        <v>13042.68</v>
      </c>
      <c r="G20" s="19">
        <f t="shared" si="0"/>
        <v>-8283.43</v>
      </c>
      <c r="H20" s="20">
        <f t="shared" si="0"/>
        <v>1482.9599999999991</v>
      </c>
      <c r="I20" s="9"/>
      <c r="J20" s="20">
        <f>I20+Январь!J20</f>
        <v>0</v>
      </c>
      <c r="K20" s="8"/>
      <c r="L20" s="19">
        <f>K20+Январь!L20</f>
        <v>0</v>
      </c>
    </row>
    <row r="21" spans="1:12">
      <c r="A21" s="1">
        <f t="shared" si="1"/>
        <v>19</v>
      </c>
      <c r="B21" s="40" t="str">
        <f>Январь!B21</f>
        <v>Капитальный ремонт</v>
      </c>
      <c r="C21" s="8">
        <v>0</v>
      </c>
      <c r="D21" s="19">
        <f>C21+Январь!D21</f>
        <v>0</v>
      </c>
      <c r="E21" s="9">
        <v>0</v>
      </c>
      <c r="F21" s="19">
        <f>E21+Январь!F21</f>
        <v>0</v>
      </c>
      <c r="G21" s="19">
        <f t="shared" si="0"/>
        <v>0</v>
      </c>
      <c r="H21" s="20">
        <f t="shared" si="0"/>
        <v>0</v>
      </c>
      <c r="I21" s="9"/>
      <c r="J21" s="20">
        <f>I21+Январь!J21</f>
        <v>0</v>
      </c>
      <c r="K21" s="8"/>
      <c r="L21" s="19">
        <f>K21+Январь!L21</f>
        <v>0</v>
      </c>
    </row>
    <row r="22" spans="1:12">
      <c r="A22" s="1">
        <f t="shared" si="1"/>
        <v>20</v>
      </c>
      <c r="B22" s="40" t="str">
        <f>Январь!B22</f>
        <v>Гор. Водоснабж. (о/д нужды)</v>
      </c>
      <c r="C22" s="8">
        <f>-57.43+570.24</f>
        <v>512.81000000000006</v>
      </c>
      <c r="D22" s="19">
        <f>C22+Январь!D22</f>
        <v>1228.0500000000002</v>
      </c>
      <c r="E22" s="9">
        <f>492.37+1054.84</f>
        <v>1547.21</v>
      </c>
      <c r="F22" s="19">
        <f>E22+Январь!F22</f>
        <v>7988.75</v>
      </c>
      <c r="G22" s="19">
        <f t="shared" si="0"/>
        <v>1034.4000000000001</v>
      </c>
      <c r="H22" s="20">
        <f t="shared" si="0"/>
        <v>6760.7</v>
      </c>
      <c r="I22" s="9"/>
      <c r="J22" s="20">
        <f>I22+Январь!J22</f>
        <v>0</v>
      </c>
      <c r="K22" s="8"/>
      <c r="L22" s="19">
        <f>K22+Январь!L22</f>
        <v>0</v>
      </c>
    </row>
    <row r="23" spans="1:12" s="11" customFormat="1">
      <c r="A23" s="34"/>
      <c r="B23" s="33" t="s">
        <v>12</v>
      </c>
      <c r="C23" s="31">
        <f t="shared" ref="C23:L23" si="2">SUM(C3:C22)</f>
        <v>158479.83000000002</v>
      </c>
      <c r="D23" s="31">
        <f t="shared" si="2"/>
        <v>333716.87000000005</v>
      </c>
      <c r="E23" s="32">
        <f t="shared" si="2"/>
        <v>138715.91999999998</v>
      </c>
      <c r="F23" s="31">
        <f t="shared" si="2"/>
        <v>324527.87999999995</v>
      </c>
      <c r="G23" s="31">
        <f t="shared" si="2"/>
        <v>-19763.910000000003</v>
      </c>
      <c r="H23" s="32">
        <f t="shared" si="2"/>
        <v>-9188.9900000000089</v>
      </c>
      <c r="I23" s="32">
        <f t="shared" si="2"/>
        <v>0</v>
      </c>
      <c r="J23" s="32">
        <f t="shared" si="2"/>
        <v>0</v>
      </c>
      <c r="K23" s="31">
        <f t="shared" si="2"/>
        <v>0</v>
      </c>
      <c r="L23" s="31">
        <f t="shared" si="2"/>
        <v>0</v>
      </c>
    </row>
    <row r="26" spans="1:12">
      <c r="B26" s="1" t="s">
        <v>37</v>
      </c>
      <c r="C26" s="9">
        <f>C9+C10+C11+C15+C17+C18</f>
        <v>13859.72</v>
      </c>
      <c r="D26" s="9">
        <f t="shared" ref="D26:J26" si="3">D9+D10+D11+D15+D17+D18</f>
        <v>29943.26</v>
      </c>
      <c r="E26" s="9">
        <f t="shared" si="3"/>
        <v>12618.369999999999</v>
      </c>
      <c r="F26" s="9">
        <f t="shared" si="3"/>
        <v>29525.73</v>
      </c>
      <c r="G26" s="9">
        <f t="shared" si="3"/>
        <v>-1241.350000000002</v>
      </c>
      <c r="H26" s="9">
        <f t="shared" si="3"/>
        <v>-417.52999999999838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30984.74</v>
      </c>
      <c r="D27" s="9">
        <f t="shared" ref="D27:J27" si="4">D8+D20</f>
        <v>55121.9</v>
      </c>
      <c r="E27" s="9">
        <f t="shared" si="4"/>
        <v>20195.830000000002</v>
      </c>
      <c r="F27" s="9">
        <f t="shared" si="4"/>
        <v>58300.76</v>
      </c>
      <c r="G27" s="9">
        <f t="shared" si="4"/>
        <v>-10788.91</v>
      </c>
      <c r="H27" s="9">
        <f t="shared" si="4"/>
        <v>3178.8600000000006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81165.849999999991</v>
      </c>
      <c r="D28" s="9">
        <f t="shared" ref="D28:J28" si="5">D4+D5+D19+D22</f>
        <v>178570.93</v>
      </c>
      <c r="E28" s="9">
        <f t="shared" si="5"/>
        <v>75573</v>
      </c>
      <c r="F28" s="9">
        <f t="shared" si="5"/>
        <v>164056.69</v>
      </c>
      <c r="G28" s="9">
        <f t="shared" si="5"/>
        <v>-5592.85</v>
      </c>
      <c r="H28" s="9">
        <f t="shared" si="5"/>
        <v>-14514.240000000009</v>
      </c>
      <c r="I28" s="9">
        <f t="shared" si="5"/>
        <v>0</v>
      </c>
      <c r="J28" s="9">
        <f t="shared" si="5"/>
        <v>0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opLeftCell="B1" workbookViewId="0">
      <selection activeCell="K40" sqref="J40:K40"/>
    </sheetView>
  </sheetViews>
  <sheetFormatPr defaultRowHeight="12.75"/>
  <cols>
    <col min="1" max="1" width="4.85546875" customWidth="1"/>
    <col min="2" max="2" width="30.42578125" customWidth="1"/>
    <col min="3" max="3" width="11.28515625" customWidth="1"/>
    <col min="4" max="4" width="10.5703125" customWidth="1"/>
    <col min="5" max="5" width="10.85546875" customWidth="1"/>
    <col min="6" max="6" width="11.140625" customWidth="1"/>
    <col min="7" max="7" width="11" customWidth="1"/>
    <col min="8" max="8" width="11.42578125" customWidth="1"/>
    <col min="9" max="9" width="10" customWidth="1"/>
    <col min="10" max="10" width="10.42578125" customWidth="1"/>
    <col min="11" max="11" width="9.28515625" bestFit="1" customWidth="1"/>
    <col min="12" max="12" width="11.5703125" customWidth="1"/>
    <col min="13" max="13" width="12" customWidth="1"/>
  </cols>
  <sheetData>
    <row r="2" spans="1:13" s="30" customFormat="1" ht="38.2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>
      <c r="A3" s="1">
        <v>1</v>
      </c>
      <c r="B3" s="40" t="str">
        <f>февраль!B3</f>
        <v>Содержание общ.имущ.дома</v>
      </c>
      <c r="C3" s="8">
        <v>18955.150000000001</v>
      </c>
      <c r="D3" s="19">
        <f>C3+февраль!D3</f>
        <v>54291.93</v>
      </c>
      <c r="E3" s="9">
        <v>18883.28</v>
      </c>
      <c r="F3" s="19">
        <f>E3+февраль!F3</f>
        <v>54599.71</v>
      </c>
      <c r="G3" s="19">
        <f>E3-C3</f>
        <v>-71.870000000002619</v>
      </c>
      <c r="H3" s="20">
        <f>F3-D3</f>
        <v>307.77999999999884</v>
      </c>
      <c r="I3" s="9"/>
      <c r="J3" s="20">
        <f>I3+февраль!J3</f>
        <v>0</v>
      </c>
      <c r="K3" s="8"/>
      <c r="L3" s="19">
        <f>K3+февраль!L3</f>
        <v>0</v>
      </c>
    </row>
    <row r="4" spans="1:13">
      <c r="A4" s="1">
        <f>A3+1</f>
        <v>2</v>
      </c>
      <c r="B4" s="40" t="str">
        <f>февраль!B4</f>
        <v>Отопление</v>
      </c>
      <c r="C4" s="8">
        <v>58515.15</v>
      </c>
      <c r="D4" s="19">
        <f>C4+февраль!D4</f>
        <v>203383.99</v>
      </c>
      <c r="E4" s="9">
        <v>74368.22</v>
      </c>
      <c r="F4" s="19">
        <f>E4+февраль!F4</f>
        <v>201439.84999999998</v>
      </c>
      <c r="G4" s="19">
        <f t="shared" ref="G4:H22" si="0">E4-C4</f>
        <v>15853.07</v>
      </c>
      <c r="H4" s="20">
        <f t="shared" si="0"/>
        <v>-1944.140000000014</v>
      </c>
      <c r="I4" s="9"/>
      <c r="J4" s="20">
        <f>I4+февраль!J4</f>
        <v>0</v>
      </c>
      <c r="K4" s="8"/>
      <c r="L4" s="19">
        <f>K4+февраль!L4</f>
        <v>0</v>
      </c>
      <c r="M4" s="12">
        <f>L4-J4</f>
        <v>0</v>
      </c>
    </row>
    <row r="5" spans="1:13">
      <c r="A5" s="1">
        <f t="shared" ref="A5:A22" si="1">A4+1</f>
        <v>3</v>
      </c>
      <c r="B5" s="40" t="str">
        <f>февраль!B5</f>
        <v>Горячее водоснабжение</v>
      </c>
      <c r="C5" s="8">
        <v>16988.55</v>
      </c>
      <c r="D5" s="19">
        <f>C5+февраль!D5</f>
        <v>49462.59</v>
      </c>
      <c r="E5" s="9">
        <v>17847.07</v>
      </c>
      <c r="F5" s="19">
        <f>E5+февраль!F5</f>
        <v>46843.38</v>
      </c>
      <c r="G5" s="19">
        <f t="shared" si="0"/>
        <v>858.52000000000044</v>
      </c>
      <c r="H5" s="20">
        <f t="shared" si="0"/>
        <v>-2619.2099999999991</v>
      </c>
      <c r="I5" s="9"/>
      <c r="J5" s="20">
        <f>I5+февраль!J5</f>
        <v>0</v>
      </c>
      <c r="K5" s="8"/>
      <c r="L5" s="19">
        <f>K5+февраль!L5</f>
        <v>0</v>
      </c>
    </row>
    <row r="6" spans="1:13">
      <c r="A6" s="1">
        <f t="shared" si="1"/>
        <v>4</v>
      </c>
      <c r="B6" s="40" t="str">
        <f>февраль!B6</f>
        <v>Газ</v>
      </c>
      <c r="C6" s="8">
        <v>0</v>
      </c>
      <c r="D6" s="19">
        <f>C6+февраль!D6</f>
        <v>0</v>
      </c>
      <c r="E6" s="9">
        <v>0</v>
      </c>
      <c r="F6" s="19">
        <f>E6+февраль!F6</f>
        <v>0</v>
      </c>
      <c r="G6" s="19">
        <f t="shared" si="0"/>
        <v>0</v>
      </c>
      <c r="H6" s="20">
        <f t="shared" si="0"/>
        <v>0</v>
      </c>
      <c r="I6" s="9"/>
      <c r="J6" s="20">
        <f>I6+февраль!J6</f>
        <v>0</v>
      </c>
      <c r="K6" s="8"/>
      <c r="L6" s="19">
        <f>K6+февраль!L6</f>
        <v>0</v>
      </c>
    </row>
    <row r="7" spans="1:13">
      <c r="A7" s="1">
        <f t="shared" si="1"/>
        <v>5</v>
      </c>
      <c r="B7" s="40" t="str">
        <f>февраль!B7</f>
        <v>Уборка и сан.очистка зем.уч.</v>
      </c>
      <c r="C7" s="8">
        <v>2600.36</v>
      </c>
      <c r="D7" s="19">
        <f>C7+февраль!D7</f>
        <v>7438.02</v>
      </c>
      <c r="E7" s="9">
        <v>2602.61</v>
      </c>
      <c r="F7" s="19">
        <f>E7+февраль!F7</f>
        <v>7590.66</v>
      </c>
      <c r="G7" s="19">
        <f t="shared" si="0"/>
        <v>2.25</v>
      </c>
      <c r="H7" s="20">
        <f t="shared" si="0"/>
        <v>152.63999999999942</v>
      </c>
      <c r="I7" s="9"/>
      <c r="J7" s="20">
        <f>I7+февраль!J7</f>
        <v>0</v>
      </c>
      <c r="K7" s="8"/>
      <c r="L7" s="19">
        <f>K7+февраль!L7</f>
        <v>0</v>
      </c>
    </row>
    <row r="8" spans="1:13">
      <c r="A8" s="1">
        <f t="shared" si="1"/>
        <v>6</v>
      </c>
      <c r="B8" s="40" t="str">
        <f>февраль!B8</f>
        <v>Электроснабжение(инд.потр)</v>
      </c>
      <c r="C8" s="8">
        <v>24453.72</v>
      </c>
      <c r="D8" s="19">
        <f>C8+февраль!D8</f>
        <v>68015.899999999994</v>
      </c>
      <c r="E8" s="9">
        <v>22680.17</v>
      </c>
      <c r="F8" s="19">
        <f>E8+февраль!F8</f>
        <v>67938.25</v>
      </c>
      <c r="G8" s="19">
        <f t="shared" si="0"/>
        <v>-1773.5500000000029</v>
      </c>
      <c r="H8" s="20">
        <f t="shared" si="0"/>
        <v>-77.649999999994179</v>
      </c>
      <c r="I8" s="9"/>
      <c r="J8" s="20">
        <f>I8+февраль!J8</f>
        <v>0</v>
      </c>
      <c r="K8" s="8"/>
      <c r="L8" s="19">
        <f>K8+февраль!L8</f>
        <v>0</v>
      </c>
    </row>
    <row r="9" spans="1:13">
      <c r="A9" s="1">
        <f t="shared" si="1"/>
        <v>7</v>
      </c>
      <c r="B9" s="40" t="str">
        <f>февраль!B9</f>
        <v>Холодная вода</v>
      </c>
      <c r="C9" s="8">
        <v>4946.25</v>
      </c>
      <c r="D9" s="19">
        <f>C9+февраль!D9</f>
        <v>15532.71</v>
      </c>
      <c r="E9" s="9">
        <v>6279.19</v>
      </c>
      <c r="F9" s="19">
        <f>E9+февраль!F9</f>
        <v>16281.619999999999</v>
      </c>
      <c r="G9" s="19">
        <f t="shared" si="0"/>
        <v>1332.9399999999996</v>
      </c>
      <c r="H9" s="20">
        <f t="shared" si="0"/>
        <v>748.90999999999985</v>
      </c>
      <c r="I9" s="9"/>
      <c r="J9" s="20">
        <f>I9+февраль!J9</f>
        <v>0</v>
      </c>
      <c r="K9" s="8"/>
      <c r="L9" s="19">
        <f>K9+февраль!L9</f>
        <v>0</v>
      </c>
      <c r="M9" s="12"/>
    </row>
    <row r="10" spans="1:13">
      <c r="A10" s="1">
        <f t="shared" si="1"/>
        <v>8</v>
      </c>
      <c r="B10" s="40" t="str">
        <f>февраль!B10</f>
        <v>Канализирование х.воды</v>
      </c>
      <c r="C10" s="8">
        <v>0</v>
      </c>
      <c r="D10" s="19">
        <f>C10+февраль!D10</f>
        <v>0</v>
      </c>
      <c r="E10" s="9">
        <v>0</v>
      </c>
      <c r="F10" s="19">
        <f>E10+февраль!F10</f>
        <v>0</v>
      </c>
      <c r="G10" s="19">
        <f t="shared" si="0"/>
        <v>0</v>
      </c>
      <c r="H10" s="20">
        <f t="shared" si="0"/>
        <v>0</v>
      </c>
      <c r="I10" s="9"/>
      <c r="J10" s="20">
        <f>I10+февраль!J10</f>
        <v>0</v>
      </c>
      <c r="K10" s="8"/>
      <c r="L10" s="19">
        <f>K10+февраль!L10</f>
        <v>0</v>
      </c>
    </row>
    <row r="11" spans="1:13">
      <c r="A11" s="1">
        <f t="shared" si="1"/>
        <v>9</v>
      </c>
      <c r="B11" s="40" t="str">
        <f>февраль!B11</f>
        <v>Канализирование г.воды</v>
      </c>
      <c r="C11" s="8">
        <v>0</v>
      </c>
      <c r="D11" s="19">
        <f>C11+февраль!D11</f>
        <v>0</v>
      </c>
      <c r="E11" s="9">
        <v>0</v>
      </c>
      <c r="F11" s="19">
        <f>E11+февраль!F11</f>
        <v>0</v>
      </c>
      <c r="G11" s="19">
        <f t="shared" si="0"/>
        <v>0</v>
      </c>
      <c r="H11" s="20">
        <f t="shared" si="0"/>
        <v>0</v>
      </c>
      <c r="I11" s="9"/>
      <c r="J11" s="20">
        <f>I11+февраль!J11</f>
        <v>0</v>
      </c>
      <c r="K11" s="8"/>
      <c r="L11" s="19">
        <f>K11+февраль!L11</f>
        <v>0</v>
      </c>
    </row>
    <row r="12" spans="1:13">
      <c r="A12" s="1">
        <f t="shared" si="1"/>
        <v>10</v>
      </c>
      <c r="B12" s="40" t="str">
        <f>февраль!B12</f>
        <v>Тек.рем.общ.имущ.дома</v>
      </c>
      <c r="C12" s="8">
        <v>9990.77</v>
      </c>
      <c r="D12" s="19">
        <f>C12+февраль!D12</f>
        <v>28562.960000000003</v>
      </c>
      <c r="E12" s="9">
        <v>9987.6299999999992</v>
      </c>
      <c r="F12" s="19">
        <f>E12+февраль!F12</f>
        <v>30380.07</v>
      </c>
      <c r="G12" s="19">
        <f t="shared" si="0"/>
        <v>-3.1400000000012369</v>
      </c>
      <c r="H12" s="20">
        <f t="shared" si="0"/>
        <v>1817.1099999999969</v>
      </c>
      <c r="I12" s="9"/>
      <c r="J12" s="20">
        <f>I12+февраль!J12</f>
        <v>0</v>
      </c>
      <c r="K12" s="8"/>
      <c r="L12" s="19">
        <f>K12+февраль!L12</f>
        <v>0</v>
      </c>
    </row>
    <row r="13" spans="1:13">
      <c r="A13" s="1">
        <f t="shared" si="1"/>
        <v>11</v>
      </c>
      <c r="B13" s="40" t="str">
        <f>февраль!B13</f>
        <v>Сод.и тек.рем.в/дом.газосн</v>
      </c>
      <c r="C13" s="8">
        <v>1086.71</v>
      </c>
      <c r="D13" s="19">
        <f>C13+февраль!D13</f>
        <v>3103.92</v>
      </c>
      <c r="E13" s="9">
        <v>1108.47</v>
      </c>
      <c r="F13" s="19">
        <f>E13+февраль!F13</f>
        <v>3171.6400000000003</v>
      </c>
      <c r="G13" s="19">
        <f t="shared" si="0"/>
        <v>21.759999999999991</v>
      </c>
      <c r="H13" s="20">
        <f t="shared" si="0"/>
        <v>67.720000000000255</v>
      </c>
      <c r="I13" s="9"/>
      <c r="J13" s="20">
        <f>I13+февраль!J13</f>
        <v>0</v>
      </c>
      <c r="K13" s="8"/>
      <c r="L13" s="19">
        <f>K13+февраль!L13</f>
        <v>0</v>
      </c>
    </row>
    <row r="14" spans="1:13">
      <c r="A14" s="1">
        <f t="shared" si="1"/>
        <v>12</v>
      </c>
      <c r="B14" s="40" t="str">
        <f>февраль!B14</f>
        <v>Управление многокв.домом</v>
      </c>
      <c r="C14" s="8">
        <v>3917.64</v>
      </c>
      <c r="D14" s="19">
        <f>C14+февраль!D14</f>
        <v>11294.23</v>
      </c>
      <c r="E14" s="9">
        <v>3822.13</v>
      </c>
      <c r="F14" s="19">
        <f>E14+февраль!F14</f>
        <v>11271.169999999998</v>
      </c>
      <c r="G14" s="19">
        <f t="shared" si="0"/>
        <v>-95.509999999999764</v>
      </c>
      <c r="H14" s="20">
        <f t="shared" si="0"/>
        <v>-23.06000000000131</v>
      </c>
      <c r="I14" s="9"/>
      <c r="J14" s="20">
        <f>I14+февраль!J14</f>
        <v>0</v>
      </c>
      <c r="K14" s="8"/>
      <c r="L14" s="19">
        <f>K14+февраль!L14</f>
        <v>0</v>
      </c>
    </row>
    <row r="15" spans="1:13">
      <c r="A15" s="1">
        <f t="shared" si="1"/>
        <v>13</v>
      </c>
      <c r="B15" s="40" t="str">
        <f>февраль!B15</f>
        <v>Водоотведение(кв)</v>
      </c>
      <c r="C15" s="8">
        <v>9387.1299999999992</v>
      </c>
      <c r="D15" s="19">
        <f>C15+февраль!D15</f>
        <v>28209.559999999998</v>
      </c>
      <c r="E15" s="9">
        <v>11162.77</v>
      </c>
      <c r="F15" s="19">
        <f>E15+февраль!F15</f>
        <v>28947.38</v>
      </c>
      <c r="G15" s="19">
        <f t="shared" si="0"/>
        <v>1775.6400000000012</v>
      </c>
      <c r="H15" s="20">
        <f t="shared" si="0"/>
        <v>737.82000000000335</v>
      </c>
      <c r="I15" s="9"/>
      <c r="J15" s="20">
        <f>I15+февраль!J15</f>
        <v>0</v>
      </c>
      <c r="K15" s="8"/>
      <c r="L15" s="19">
        <f>K15+февраль!L15</f>
        <v>0</v>
      </c>
    </row>
    <row r="16" spans="1:13">
      <c r="A16" s="1">
        <f t="shared" si="1"/>
        <v>14</v>
      </c>
      <c r="B16" s="40" t="str">
        <f>февраль!B16</f>
        <v>Эксплуатация общед.ПУ</v>
      </c>
      <c r="C16" s="8">
        <v>1060.6300000000001</v>
      </c>
      <c r="D16" s="19">
        <f>C16+февраль!D16</f>
        <v>3000.9800000000005</v>
      </c>
      <c r="E16" s="9">
        <v>1063.1300000000001</v>
      </c>
      <c r="F16" s="19">
        <f>E16+февраль!F16</f>
        <v>3098.7</v>
      </c>
      <c r="G16" s="19">
        <f t="shared" si="0"/>
        <v>2.5</v>
      </c>
      <c r="H16" s="20">
        <f t="shared" si="0"/>
        <v>97.719999999999345</v>
      </c>
      <c r="I16" s="9"/>
      <c r="J16" s="20">
        <f>I16+февраль!J16</f>
        <v>0</v>
      </c>
      <c r="K16" s="8"/>
      <c r="L16" s="19">
        <f>K16+февраль!L16</f>
        <v>0</v>
      </c>
    </row>
    <row r="17" spans="1:12">
      <c r="A17" s="1">
        <f t="shared" si="1"/>
        <v>15</v>
      </c>
      <c r="B17" s="40" t="str">
        <f>февраль!B17</f>
        <v>Хол. водоснаб(о/д нужды)</v>
      </c>
      <c r="C17" s="8">
        <v>305.22000000000003</v>
      </c>
      <c r="D17" s="19">
        <f>C17+февраль!D17</f>
        <v>839.59</v>
      </c>
      <c r="E17" s="9">
        <v>388.98</v>
      </c>
      <c r="F17" s="19">
        <f>E17+февраль!F17</f>
        <v>2127.67</v>
      </c>
      <c r="G17" s="19">
        <f t="shared" si="0"/>
        <v>83.759999999999991</v>
      </c>
      <c r="H17" s="20">
        <f t="shared" si="0"/>
        <v>1288.08</v>
      </c>
      <c r="I17" s="9"/>
      <c r="J17" s="20">
        <f>I17+февраль!J17</f>
        <v>0</v>
      </c>
      <c r="K17" s="8"/>
      <c r="L17" s="19">
        <f>K17+февраль!L17</f>
        <v>0</v>
      </c>
    </row>
    <row r="18" spans="1:12">
      <c r="A18" s="1">
        <f t="shared" si="1"/>
        <v>16</v>
      </c>
      <c r="B18" s="40" t="str">
        <f>февраль!B18</f>
        <v>Водоотведение(о/д нужды)</v>
      </c>
      <c r="C18" s="8">
        <v>0</v>
      </c>
      <c r="D18" s="19">
        <v>0</v>
      </c>
      <c r="E18" s="9">
        <v>0</v>
      </c>
      <c r="F18" s="19">
        <f>E18+февраль!F18</f>
        <v>0</v>
      </c>
      <c r="G18" s="19">
        <f t="shared" si="0"/>
        <v>0</v>
      </c>
      <c r="H18" s="20">
        <f t="shared" si="0"/>
        <v>0</v>
      </c>
      <c r="I18" s="9"/>
      <c r="J18" s="20">
        <f>I18+февраль!J18</f>
        <v>0</v>
      </c>
      <c r="K18" s="8"/>
      <c r="L18" s="19">
        <f>K18+февраль!L18</f>
        <v>0</v>
      </c>
    </row>
    <row r="19" spans="1:12" ht="14.25" customHeight="1">
      <c r="A19" s="1">
        <f t="shared" si="1"/>
        <v>17</v>
      </c>
      <c r="B19" s="40" t="str">
        <f>февраль!B19</f>
        <v>Отопление(о/д нужды)</v>
      </c>
      <c r="C19" s="8">
        <v>0</v>
      </c>
      <c r="D19" s="19">
        <f>C19+февраль!D19</f>
        <v>0</v>
      </c>
      <c r="E19" s="9">
        <v>0</v>
      </c>
      <c r="F19" s="19">
        <f>E19+февраль!F19</f>
        <v>0</v>
      </c>
      <c r="G19" s="19">
        <f t="shared" si="0"/>
        <v>0</v>
      </c>
      <c r="H19" s="20">
        <f t="shared" si="0"/>
        <v>0</v>
      </c>
      <c r="I19" s="9"/>
      <c r="J19" s="20">
        <f>I19+февраль!J19</f>
        <v>0</v>
      </c>
      <c r="K19" s="9"/>
      <c r="L19" s="19">
        <f>K19+февраль!L19</f>
        <v>0</v>
      </c>
    </row>
    <row r="20" spans="1:12" ht="14.25" customHeight="1">
      <c r="A20" s="1">
        <f t="shared" si="1"/>
        <v>18</v>
      </c>
      <c r="B20" s="40" t="str">
        <f>февраль!B20</f>
        <v>Электроснабжение(общед.нужды)</v>
      </c>
      <c r="C20" s="8">
        <v>9403.56</v>
      </c>
      <c r="D20" s="19">
        <f>C20+февраль!D20</f>
        <v>20963.28</v>
      </c>
      <c r="E20" s="9">
        <v>10929.25</v>
      </c>
      <c r="F20" s="19">
        <f>E20+февраль!F20</f>
        <v>23971.93</v>
      </c>
      <c r="G20" s="19">
        <f t="shared" si="0"/>
        <v>1525.6900000000005</v>
      </c>
      <c r="H20" s="20">
        <f t="shared" si="0"/>
        <v>3008.6500000000015</v>
      </c>
      <c r="I20" s="9"/>
      <c r="J20" s="20">
        <f>I20+февраль!J20</f>
        <v>0</v>
      </c>
      <c r="K20" s="8"/>
      <c r="L20" s="19">
        <f>K20+февраль!L20</f>
        <v>0</v>
      </c>
    </row>
    <row r="21" spans="1:12">
      <c r="A21" s="1">
        <f t="shared" si="1"/>
        <v>19</v>
      </c>
      <c r="B21" s="40" t="str">
        <f>февраль!B21</f>
        <v>Капитальный ремонт</v>
      </c>
      <c r="C21" s="8">
        <v>0</v>
      </c>
      <c r="D21" s="19">
        <f>C21+февраль!D21</f>
        <v>0</v>
      </c>
      <c r="E21" s="9">
        <v>0</v>
      </c>
      <c r="F21" s="19">
        <f>E21+февраль!F21</f>
        <v>0</v>
      </c>
      <c r="G21" s="19">
        <f t="shared" si="0"/>
        <v>0</v>
      </c>
      <c r="H21" s="20">
        <f t="shared" si="0"/>
        <v>0</v>
      </c>
      <c r="I21" s="9"/>
      <c r="J21" s="20">
        <f>I21+февраль!J21</f>
        <v>0</v>
      </c>
      <c r="K21" s="8"/>
      <c r="L21" s="19">
        <f>K21+февраль!L21</f>
        <v>0</v>
      </c>
    </row>
    <row r="22" spans="1:12">
      <c r="A22" s="1">
        <f t="shared" si="1"/>
        <v>20</v>
      </c>
      <c r="B22" s="40" t="str">
        <f>февраль!B22</f>
        <v>Гор. Водоснабж. (о/д нужды)</v>
      </c>
      <c r="C22" s="8">
        <v>715.24</v>
      </c>
      <c r="D22" s="19">
        <f>C22+февраль!D22</f>
        <v>1943.2900000000002</v>
      </c>
      <c r="E22" s="9">
        <v>1106.53</v>
      </c>
      <c r="F22" s="19">
        <f>E22+февраль!F22</f>
        <v>9095.2800000000007</v>
      </c>
      <c r="G22" s="19">
        <f t="shared" si="0"/>
        <v>391.28999999999996</v>
      </c>
      <c r="H22" s="20">
        <f t="shared" si="0"/>
        <v>7151.9900000000007</v>
      </c>
      <c r="I22" s="9"/>
      <c r="J22" s="20">
        <f>I22+февраль!J22</f>
        <v>0</v>
      </c>
      <c r="K22" s="8"/>
      <c r="L22" s="19">
        <f>K22+февраль!L22</f>
        <v>0</v>
      </c>
    </row>
    <row r="23" spans="1:12" s="11" customFormat="1">
      <c r="A23" s="34"/>
      <c r="B23" s="33" t="s">
        <v>12</v>
      </c>
      <c r="C23" s="31">
        <f t="shared" ref="C23:L23" si="2">SUM(C3:C22)</f>
        <v>162326.08000000002</v>
      </c>
      <c r="D23" s="31">
        <f t="shared" si="2"/>
        <v>496042.95</v>
      </c>
      <c r="E23" s="32">
        <f t="shared" si="2"/>
        <v>182229.43000000002</v>
      </c>
      <c r="F23" s="31">
        <f t="shared" si="2"/>
        <v>506757.30999999994</v>
      </c>
      <c r="G23" s="31">
        <f t="shared" si="2"/>
        <v>19903.349999999991</v>
      </c>
      <c r="H23" s="32">
        <f t="shared" si="2"/>
        <v>10714.359999999991</v>
      </c>
      <c r="I23" s="32">
        <f t="shared" si="2"/>
        <v>0</v>
      </c>
      <c r="J23" s="32">
        <f t="shared" si="2"/>
        <v>0</v>
      </c>
      <c r="K23" s="31">
        <f t="shared" si="2"/>
        <v>0</v>
      </c>
      <c r="L23" s="31">
        <f t="shared" si="2"/>
        <v>0</v>
      </c>
    </row>
    <row r="25" spans="1:12">
      <c r="B25" s="41" t="s">
        <v>35</v>
      </c>
      <c r="C25" s="9">
        <f t="shared" ref="C25:H25" si="3">C3+C7+C12+C13+C14+C16</f>
        <v>37611.26</v>
      </c>
      <c r="D25" s="9">
        <f t="shared" si="3"/>
        <v>107692.04</v>
      </c>
      <c r="E25" s="9">
        <f t="shared" si="3"/>
        <v>37467.249999999993</v>
      </c>
      <c r="F25" s="9">
        <f t="shared" si="3"/>
        <v>110111.95</v>
      </c>
      <c r="G25" s="9">
        <f t="shared" si="3"/>
        <v>-144.01000000000363</v>
      </c>
      <c r="H25" s="9">
        <f t="shared" si="3"/>
        <v>2419.9099999999935</v>
      </c>
    </row>
    <row r="26" spans="1:12">
      <c r="B26" s="1" t="s">
        <v>37</v>
      </c>
      <c r="C26" s="9">
        <f>C9+C10+C11+C15+C17+C18</f>
        <v>14638.599999999999</v>
      </c>
      <c r="D26" s="9">
        <f t="shared" ref="D26:J26" si="4">D9+D10+D11+D15+D17+D18</f>
        <v>44581.859999999993</v>
      </c>
      <c r="E26" s="9">
        <f t="shared" si="4"/>
        <v>17830.939999999999</v>
      </c>
      <c r="F26" s="9">
        <f t="shared" si="4"/>
        <v>47356.67</v>
      </c>
      <c r="G26" s="9">
        <f t="shared" si="4"/>
        <v>3192.3400000000011</v>
      </c>
      <c r="H26" s="9">
        <f t="shared" si="4"/>
        <v>2774.8100000000031</v>
      </c>
      <c r="I26" s="9">
        <f t="shared" si="4"/>
        <v>0</v>
      </c>
      <c r="J26" s="9">
        <f t="shared" si="4"/>
        <v>0</v>
      </c>
    </row>
    <row r="27" spans="1:12">
      <c r="B27" s="1" t="s">
        <v>38</v>
      </c>
      <c r="C27" s="9">
        <f>C8+C20</f>
        <v>33857.279999999999</v>
      </c>
      <c r="D27" s="9">
        <f t="shared" ref="D27:J27" si="5">D8+D20</f>
        <v>88979.18</v>
      </c>
      <c r="E27" s="9">
        <f t="shared" si="5"/>
        <v>33609.42</v>
      </c>
      <c r="F27" s="9">
        <f t="shared" si="5"/>
        <v>91910.18</v>
      </c>
      <c r="G27" s="9">
        <f t="shared" si="5"/>
        <v>-247.8600000000024</v>
      </c>
      <c r="H27" s="9">
        <f t="shared" si="5"/>
        <v>2931.0000000000073</v>
      </c>
      <c r="I27" s="9">
        <f t="shared" si="5"/>
        <v>0</v>
      </c>
      <c r="J27" s="9">
        <f t="shared" si="5"/>
        <v>0</v>
      </c>
    </row>
    <row r="28" spans="1:12">
      <c r="B28" s="1" t="s">
        <v>39</v>
      </c>
      <c r="C28" s="9">
        <f>C4+C5+C19+C22</f>
        <v>76218.94</v>
      </c>
      <c r="D28" s="9">
        <f t="shared" ref="D28:J28" si="6">D4+D5+D19+D22</f>
        <v>254789.87</v>
      </c>
      <c r="E28" s="9">
        <f t="shared" si="6"/>
        <v>93321.82</v>
      </c>
      <c r="F28" s="9">
        <f t="shared" si="6"/>
        <v>257378.50999999998</v>
      </c>
      <c r="G28" s="9">
        <f t="shared" si="6"/>
        <v>17102.88</v>
      </c>
      <c r="H28" s="9">
        <f t="shared" si="6"/>
        <v>2588.6399999999876</v>
      </c>
      <c r="I28" s="9">
        <f t="shared" si="6"/>
        <v>0</v>
      </c>
      <c r="J28" s="9">
        <f t="shared" si="6"/>
        <v>0</v>
      </c>
    </row>
    <row r="34" spans="8:9">
      <c r="H34">
        <v>33196.379999999997</v>
      </c>
      <c r="I34">
        <v>44440.51</v>
      </c>
    </row>
    <row r="35" spans="8:9">
      <c r="H35">
        <v>129129.7</v>
      </c>
      <c r="I35">
        <v>137788.92000000001</v>
      </c>
    </row>
    <row r="36" spans="8:9">
      <c r="H36" s="11">
        <f>H34+H35</f>
        <v>162326.07999999999</v>
      </c>
      <c r="I36" s="11">
        <f>I34+I35</f>
        <v>182229.43000000002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topLeftCell="B1" workbookViewId="0">
      <selection activeCell="B2" sqref="B2"/>
    </sheetView>
  </sheetViews>
  <sheetFormatPr defaultRowHeight="12.75"/>
  <cols>
    <col min="1" max="1" width="4.85546875" customWidth="1"/>
    <col min="2" max="2" width="30" customWidth="1"/>
    <col min="3" max="3" width="11" customWidth="1"/>
    <col min="4" max="4" width="11.42578125" customWidth="1"/>
    <col min="5" max="6" width="10.7109375" customWidth="1"/>
    <col min="7" max="7" width="10.5703125" customWidth="1"/>
    <col min="8" max="8" width="11.28515625" customWidth="1"/>
    <col min="9" max="9" width="11.140625" customWidth="1"/>
    <col min="10" max="10" width="9.85546875" customWidth="1"/>
    <col min="11" max="11" width="10.140625" customWidth="1"/>
    <col min="12" max="12" width="10.7109375" customWidth="1"/>
    <col min="13" max="13" width="11.28515625" customWidth="1"/>
  </cols>
  <sheetData>
    <row r="2" spans="1:13">
      <c r="B2" s="11" t="s">
        <v>18</v>
      </c>
    </row>
    <row r="4" spans="1:13" ht="38.25">
      <c r="A4" s="13" t="s">
        <v>0</v>
      </c>
      <c r="B4" s="14" t="s">
        <v>1</v>
      </c>
      <c r="C4" s="15" t="s">
        <v>2</v>
      </c>
      <c r="D4" s="21" t="s">
        <v>3</v>
      </c>
      <c r="E4" s="16" t="s">
        <v>4</v>
      </c>
      <c r="F4" s="21" t="s">
        <v>5</v>
      </c>
      <c r="G4" s="21" t="s">
        <v>6</v>
      </c>
      <c r="H4" s="22" t="s">
        <v>7</v>
      </c>
      <c r="I4" s="16" t="s">
        <v>8</v>
      </c>
      <c r="J4" s="22" t="s">
        <v>9</v>
      </c>
      <c r="K4" s="14" t="s">
        <v>10</v>
      </c>
      <c r="L4" s="21" t="s">
        <v>11</v>
      </c>
    </row>
    <row r="5" spans="1:13">
      <c r="A5" s="1">
        <v>1</v>
      </c>
      <c r="B5" s="40" t="str">
        <f>март!B3</f>
        <v>Содержание общ.имущ.дома</v>
      </c>
      <c r="C5" s="8">
        <f>3811.65+15143.5</f>
        <v>18955.150000000001</v>
      </c>
      <c r="D5" s="19">
        <v>53053.8</v>
      </c>
      <c r="E5" s="9">
        <v>15022.26</v>
      </c>
      <c r="F5" s="19">
        <f>E5+март!F3</f>
        <v>69621.97</v>
      </c>
      <c r="G5" s="19">
        <f>E5-C5</f>
        <v>-3932.8900000000012</v>
      </c>
      <c r="H5" s="20">
        <f>F5-D5</f>
        <v>16568.169999999998</v>
      </c>
      <c r="I5" s="9"/>
      <c r="J5" s="20">
        <f>I5+март!J3</f>
        <v>0</v>
      </c>
      <c r="K5" s="8"/>
      <c r="L5" s="19">
        <f>K5+март!L3</f>
        <v>0</v>
      </c>
    </row>
    <row r="6" spans="1:13">
      <c r="A6" s="1">
        <f>A5+1</f>
        <v>2</v>
      </c>
      <c r="B6" s="40" t="str">
        <f>март!B4</f>
        <v>Отопление</v>
      </c>
      <c r="C6" s="8">
        <f>10488.19+41669.2</f>
        <v>52157.39</v>
      </c>
      <c r="D6" s="19">
        <v>189977.77</v>
      </c>
      <c r="E6" s="9">
        <v>48955.71</v>
      </c>
      <c r="F6" s="19">
        <f>E6+март!F4</f>
        <v>250395.55999999997</v>
      </c>
      <c r="G6" s="19">
        <f t="shared" ref="G6:H24" si="0">E6-C6</f>
        <v>-3201.6800000000003</v>
      </c>
      <c r="H6" s="20">
        <f t="shared" si="0"/>
        <v>60417.789999999979</v>
      </c>
      <c r="I6" s="9"/>
      <c r="J6" s="20">
        <f>I6+март!J4</f>
        <v>0</v>
      </c>
      <c r="K6" s="8"/>
      <c r="L6" s="19">
        <f>K6+март!L4</f>
        <v>0</v>
      </c>
      <c r="M6" s="12">
        <f>L6-J6</f>
        <v>0</v>
      </c>
    </row>
    <row r="7" spans="1:13">
      <c r="A7" s="1">
        <f t="shared" ref="A7:A24" si="1">A6+1</f>
        <v>3</v>
      </c>
      <c r="B7" s="40" t="str">
        <f>март!B5</f>
        <v>Горячее водоснабжение</v>
      </c>
      <c r="C7" s="61">
        <f>3525.9+13210.25+169.34</f>
        <v>16905.490000000002</v>
      </c>
      <c r="D7" s="19">
        <v>48134.36</v>
      </c>
      <c r="E7" s="9">
        <v>14146.27</v>
      </c>
      <c r="F7" s="19">
        <f>E7+март!F5</f>
        <v>60989.649999999994</v>
      </c>
      <c r="G7" s="19">
        <f t="shared" si="0"/>
        <v>-2759.2200000000012</v>
      </c>
      <c r="H7" s="20">
        <f t="shared" si="0"/>
        <v>12855.289999999994</v>
      </c>
      <c r="I7" s="9"/>
      <c r="J7" s="20">
        <f>I7+март!J5</f>
        <v>0</v>
      </c>
      <c r="K7" s="8"/>
      <c r="L7" s="19">
        <f>K7+март!L5</f>
        <v>0</v>
      </c>
    </row>
    <row r="8" spans="1:13">
      <c r="A8" s="1">
        <f t="shared" si="1"/>
        <v>4</v>
      </c>
      <c r="B8" s="40" t="str">
        <f>март!B6</f>
        <v>Газ</v>
      </c>
      <c r="C8" s="8">
        <f>0+0</f>
        <v>0</v>
      </c>
      <c r="D8" s="19">
        <v>0</v>
      </c>
      <c r="E8" s="9">
        <v>0</v>
      </c>
      <c r="F8" s="19">
        <f>E8+март!F6</f>
        <v>0</v>
      </c>
      <c r="G8" s="19">
        <f t="shared" si="0"/>
        <v>0</v>
      </c>
      <c r="H8" s="20">
        <f t="shared" si="0"/>
        <v>0</v>
      </c>
      <c r="I8" s="9"/>
      <c r="J8" s="20">
        <f>I8+март!J6</f>
        <v>0</v>
      </c>
      <c r="K8" s="8"/>
      <c r="L8" s="19">
        <f>K8+март!L6</f>
        <v>0</v>
      </c>
    </row>
    <row r="9" spans="1:13">
      <c r="A9" s="1">
        <f t="shared" si="1"/>
        <v>5</v>
      </c>
      <c r="B9" s="40" t="str">
        <f>март!B7</f>
        <v>Уборка и сан.очистка зем.уч.</v>
      </c>
      <c r="C9" s="8">
        <f>522.89+2077.47</f>
        <v>2600.3599999999997</v>
      </c>
      <c r="D9" s="19">
        <v>7278.19</v>
      </c>
      <c r="E9" s="9">
        <v>2062.08</v>
      </c>
      <c r="F9" s="19">
        <f>E9+март!F7</f>
        <v>9652.74</v>
      </c>
      <c r="G9" s="19">
        <f t="shared" si="0"/>
        <v>-538.27999999999975</v>
      </c>
      <c r="H9" s="20">
        <f t="shared" si="0"/>
        <v>2374.5500000000002</v>
      </c>
      <c r="I9" s="9"/>
      <c r="J9" s="20">
        <f>I9+март!J7</f>
        <v>0</v>
      </c>
      <c r="K9" s="8"/>
      <c r="L9" s="19">
        <f>K9+март!L7</f>
        <v>0</v>
      </c>
    </row>
    <row r="10" spans="1:13">
      <c r="A10" s="1">
        <f t="shared" si="1"/>
        <v>6</v>
      </c>
      <c r="B10" s="40" t="str">
        <f>март!B8</f>
        <v>Электроснабжение(инд.потр)</v>
      </c>
      <c r="C10" s="8">
        <f>19472.4+5113.16</f>
        <v>24585.56</v>
      </c>
      <c r="D10" s="19">
        <v>66529.899999999994</v>
      </c>
      <c r="E10" s="9">
        <v>19158.580000000002</v>
      </c>
      <c r="F10" s="19">
        <f>E10+март!F8</f>
        <v>87096.83</v>
      </c>
      <c r="G10" s="19">
        <f t="shared" si="0"/>
        <v>-5426.98</v>
      </c>
      <c r="H10" s="20">
        <f t="shared" si="0"/>
        <v>20566.930000000008</v>
      </c>
      <c r="I10" s="9"/>
      <c r="J10" s="20">
        <f>I10+март!J8</f>
        <v>0</v>
      </c>
      <c r="K10" s="8"/>
      <c r="L10" s="19">
        <f>K10+март!L8</f>
        <v>0</v>
      </c>
    </row>
    <row r="11" spans="1:13">
      <c r="A11" s="1">
        <f t="shared" si="1"/>
        <v>7</v>
      </c>
      <c r="B11" s="40" t="str">
        <f>март!B9</f>
        <v>Холодная вода</v>
      </c>
      <c r="C11" s="8">
        <f>1161.85+5008.16</f>
        <v>6170.01</v>
      </c>
      <c r="D11" s="19">
        <v>16458.060000000001</v>
      </c>
      <c r="E11" s="9">
        <v>4100.21</v>
      </c>
      <c r="F11" s="19">
        <f>E11+март!F9</f>
        <v>20381.829999999998</v>
      </c>
      <c r="G11" s="19">
        <f t="shared" si="0"/>
        <v>-2069.8000000000002</v>
      </c>
      <c r="H11" s="20">
        <f t="shared" si="0"/>
        <v>3923.7699999999968</v>
      </c>
      <c r="I11" s="9"/>
      <c r="J11" s="20">
        <f>I11+март!J9</f>
        <v>0</v>
      </c>
      <c r="K11" s="8"/>
      <c r="L11" s="19">
        <f>K11+март!L9</f>
        <v>0</v>
      </c>
      <c r="M11" s="12"/>
    </row>
    <row r="12" spans="1:13">
      <c r="A12" s="1">
        <f t="shared" si="1"/>
        <v>8</v>
      </c>
      <c r="B12" s="40" t="str">
        <f>март!B10</f>
        <v>Канализирование х.воды</v>
      </c>
      <c r="C12" s="8">
        <v>0</v>
      </c>
      <c r="D12" s="19">
        <v>0</v>
      </c>
      <c r="E12" s="9">
        <v>0</v>
      </c>
      <c r="F12" s="19">
        <f>E12+март!F10</f>
        <v>0</v>
      </c>
      <c r="G12" s="19">
        <f t="shared" si="0"/>
        <v>0</v>
      </c>
      <c r="H12" s="20">
        <f t="shared" si="0"/>
        <v>0</v>
      </c>
      <c r="I12" s="9"/>
      <c r="J12" s="20">
        <f>I12+март!J10</f>
        <v>0</v>
      </c>
      <c r="K12" s="8"/>
      <c r="L12" s="19">
        <f>K12+март!L10</f>
        <v>0</v>
      </c>
    </row>
    <row r="13" spans="1:13">
      <c r="A13" s="1">
        <f t="shared" si="1"/>
        <v>9</v>
      </c>
      <c r="B13" s="40" t="str">
        <f>март!B11</f>
        <v>Канализирование г.воды</v>
      </c>
      <c r="C13" s="8">
        <v>0</v>
      </c>
      <c r="D13" s="19">
        <v>0</v>
      </c>
      <c r="E13" s="9">
        <v>0</v>
      </c>
      <c r="F13" s="19">
        <f>E13+март!F11</f>
        <v>0</v>
      </c>
      <c r="G13" s="19">
        <f t="shared" si="0"/>
        <v>0</v>
      </c>
      <c r="H13" s="20">
        <f t="shared" si="0"/>
        <v>0</v>
      </c>
      <c r="I13" s="9"/>
      <c r="J13" s="20">
        <f>I13+март!J11</f>
        <v>0</v>
      </c>
      <c r="K13" s="8"/>
      <c r="L13" s="19">
        <f>K13+март!L11</f>
        <v>0</v>
      </c>
    </row>
    <row r="14" spans="1:13">
      <c r="A14" s="1">
        <f t="shared" si="1"/>
        <v>10</v>
      </c>
      <c r="B14" s="40" t="str">
        <f>март!B12</f>
        <v>Тек.рем.общ.имущ.дома</v>
      </c>
      <c r="C14" s="8">
        <f>7981.75+2009.02</f>
        <v>9990.77</v>
      </c>
      <c r="D14" s="19">
        <v>27963.29</v>
      </c>
      <c r="E14" s="9">
        <v>7937.91</v>
      </c>
      <c r="F14" s="19">
        <f>E14+март!F12</f>
        <v>38317.979999999996</v>
      </c>
      <c r="G14" s="19">
        <f t="shared" si="0"/>
        <v>-2052.8600000000006</v>
      </c>
      <c r="H14" s="20">
        <f t="shared" si="0"/>
        <v>10354.689999999995</v>
      </c>
      <c r="I14" s="9"/>
      <c r="J14" s="20">
        <f>I14+март!J12</f>
        <v>0</v>
      </c>
      <c r="K14" s="8"/>
      <c r="L14" s="19">
        <f>K14+март!L12</f>
        <v>0</v>
      </c>
    </row>
    <row r="15" spans="1:13">
      <c r="A15" s="1">
        <f t="shared" si="1"/>
        <v>11</v>
      </c>
      <c r="B15" s="40" t="str">
        <f>март!B13</f>
        <v>Сод.и тек.рем.в/дом.газосн</v>
      </c>
      <c r="C15" s="8">
        <f>213.04+873.66</f>
        <v>1086.7</v>
      </c>
      <c r="D15" s="19">
        <v>3047.08</v>
      </c>
      <c r="E15" s="9">
        <v>852.27</v>
      </c>
      <c r="F15" s="19">
        <f>E15+март!F13</f>
        <v>4023.9100000000003</v>
      </c>
      <c r="G15" s="19">
        <f t="shared" si="0"/>
        <v>-234.43000000000006</v>
      </c>
      <c r="H15" s="20">
        <f t="shared" si="0"/>
        <v>976.83000000000038</v>
      </c>
      <c r="I15" s="9"/>
      <c r="J15" s="20">
        <f>I15+март!J13</f>
        <v>0</v>
      </c>
      <c r="K15" s="8"/>
      <c r="L15" s="19">
        <f>K15+март!L13</f>
        <v>0</v>
      </c>
    </row>
    <row r="16" spans="1:13">
      <c r="A16" s="1">
        <f t="shared" si="1"/>
        <v>12</v>
      </c>
      <c r="B16" s="40" t="str">
        <f>март!B14</f>
        <v>Управление многокв.домом</v>
      </c>
      <c r="C16" s="8">
        <f>3129.85+787.79</f>
        <v>3917.64</v>
      </c>
      <c r="D16" s="19">
        <v>10965.13</v>
      </c>
      <c r="E16" s="9">
        <v>3106.65</v>
      </c>
      <c r="F16" s="19">
        <f>E16+март!F14</f>
        <v>14377.819999999998</v>
      </c>
      <c r="G16" s="19">
        <f t="shared" si="0"/>
        <v>-810.98999999999978</v>
      </c>
      <c r="H16" s="20">
        <f t="shared" si="0"/>
        <v>3412.6899999999987</v>
      </c>
      <c r="I16" s="9"/>
      <c r="J16" s="20">
        <f>I16+март!J14</f>
        <v>0</v>
      </c>
      <c r="K16" s="8"/>
      <c r="L16" s="19">
        <f>K16+март!L14</f>
        <v>0</v>
      </c>
    </row>
    <row r="17" spans="1:12">
      <c r="A17" s="1">
        <f t="shared" si="1"/>
        <v>13</v>
      </c>
      <c r="B17" s="40" t="str">
        <f>март!B15</f>
        <v>Водоотведение(кв)</v>
      </c>
      <c r="C17" s="8">
        <f>2083.55+8461.33</f>
        <v>10544.880000000001</v>
      </c>
      <c r="D17" s="19">
        <v>29051.07</v>
      </c>
      <c r="E17" s="9">
        <v>7806.06</v>
      </c>
      <c r="F17" s="19">
        <f>E17+март!F15</f>
        <v>36753.440000000002</v>
      </c>
      <c r="G17" s="19">
        <f t="shared" si="0"/>
        <v>-2738.8200000000006</v>
      </c>
      <c r="H17" s="20">
        <f t="shared" si="0"/>
        <v>7702.3700000000026</v>
      </c>
      <c r="I17" s="9"/>
      <c r="J17" s="20">
        <f>I17+март!J15</f>
        <v>0</v>
      </c>
      <c r="K17" s="8"/>
      <c r="L17" s="19">
        <f>K17+март!L15</f>
        <v>0</v>
      </c>
    </row>
    <row r="18" spans="1:12">
      <c r="A18" s="1">
        <f t="shared" si="1"/>
        <v>14</v>
      </c>
      <c r="B18" s="40" t="str">
        <f>март!B16</f>
        <v>Эксплуатация общед.ПУ</v>
      </c>
      <c r="C18" s="8">
        <f>847.34+213.28</f>
        <v>1060.6200000000001</v>
      </c>
      <c r="D18" s="19">
        <v>2968.6</v>
      </c>
      <c r="E18" s="9">
        <v>841.06</v>
      </c>
      <c r="F18" s="19">
        <f>E18+март!F16</f>
        <v>3939.7599999999998</v>
      </c>
      <c r="G18" s="19">
        <f t="shared" si="0"/>
        <v>-219.56000000000017</v>
      </c>
      <c r="H18" s="20">
        <f t="shared" si="0"/>
        <v>971.15999999999985</v>
      </c>
      <c r="I18" s="9"/>
      <c r="J18" s="20">
        <f>I18+март!J16</f>
        <v>0</v>
      </c>
      <c r="K18" s="8"/>
      <c r="L18" s="19">
        <f>K18+март!L16</f>
        <v>0</v>
      </c>
    </row>
    <row r="19" spans="1:12">
      <c r="A19" s="1">
        <f t="shared" si="1"/>
        <v>15</v>
      </c>
      <c r="B19" s="40" t="str">
        <f>март!B17</f>
        <v>Хол. водоснаб(о/д нужды)</v>
      </c>
      <c r="C19" s="8">
        <f>61.31+243.9</f>
        <v>305.21000000000004</v>
      </c>
      <c r="D19" s="19">
        <v>854.34</v>
      </c>
      <c r="E19" s="9">
        <v>277.47000000000003</v>
      </c>
      <c r="F19" s="19">
        <f>E19+март!F17</f>
        <v>2405.1400000000003</v>
      </c>
      <c r="G19" s="19">
        <f t="shared" si="0"/>
        <v>-27.740000000000009</v>
      </c>
      <c r="H19" s="20">
        <f t="shared" si="0"/>
        <v>1550.8000000000002</v>
      </c>
      <c r="I19" s="9"/>
      <c r="J19" s="20">
        <f>I19+март!J17</f>
        <v>0</v>
      </c>
      <c r="K19" s="8"/>
      <c r="L19" s="19">
        <f>K19+март!L17</f>
        <v>0</v>
      </c>
    </row>
    <row r="20" spans="1:12">
      <c r="A20" s="1">
        <f t="shared" si="1"/>
        <v>16</v>
      </c>
      <c r="B20" s="40" t="str">
        <f>март!B18</f>
        <v>Водоотведение(о/д нужды)</v>
      </c>
      <c r="C20" s="8">
        <f>0+0</f>
        <v>0</v>
      </c>
      <c r="D20" s="19">
        <v>0</v>
      </c>
      <c r="E20" s="9">
        <v>0</v>
      </c>
      <c r="F20" s="19">
        <f>E20+март!F18</f>
        <v>0</v>
      </c>
      <c r="G20" s="19">
        <f t="shared" si="0"/>
        <v>0</v>
      </c>
      <c r="H20" s="20">
        <f t="shared" si="0"/>
        <v>0</v>
      </c>
      <c r="I20" s="9"/>
      <c r="J20" s="20">
        <f>I20+март!J18</f>
        <v>0</v>
      </c>
      <c r="K20" s="8"/>
      <c r="L20" s="19">
        <f>K20+март!L18</f>
        <v>0</v>
      </c>
    </row>
    <row r="21" spans="1:12" ht="15.75" customHeight="1">
      <c r="A21" s="1">
        <f t="shared" si="1"/>
        <v>17</v>
      </c>
      <c r="B21" s="40" t="str">
        <f>март!B19</f>
        <v>Отопление(о/д нужды)</v>
      </c>
      <c r="C21" s="8">
        <f>0+0</f>
        <v>0</v>
      </c>
      <c r="D21" s="19">
        <v>0</v>
      </c>
      <c r="E21" s="9">
        <v>0</v>
      </c>
      <c r="F21" s="19">
        <f>E21+март!F19</f>
        <v>0</v>
      </c>
      <c r="G21" s="19">
        <f t="shared" si="0"/>
        <v>0</v>
      </c>
      <c r="H21" s="20">
        <f t="shared" si="0"/>
        <v>0</v>
      </c>
      <c r="I21" s="9"/>
      <c r="J21" s="20">
        <f>I21+март!J19</f>
        <v>0</v>
      </c>
      <c r="K21" s="9"/>
      <c r="L21" s="19">
        <f>K21+март!L19</f>
        <v>0</v>
      </c>
    </row>
    <row r="22" spans="1:12" ht="12" customHeight="1">
      <c r="A22" s="1">
        <f t="shared" si="1"/>
        <v>18</v>
      </c>
      <c r="B22" s="40" t="str">
        <f>март!B20</f>
        <v>Электроснабжение(общед.нужды)</v>
      </c>
      <c r="C22" s="8">
        <f>4002.59+1509.33</f>
        <v>5511.92</v>
      </c>
      <c r="D22" s="19">
        <v>15435.14</v>
      </c>
      <c r="E22" s="9">
        <v>6652.1</v>
      </c>
      <c r="F22" s="19">
        <f>E22+март!F20</f>
        <v>30624.03</v>
      </c>
      <c r="G22" s="19">
        <f t="shared" si="0"/>
        <v>1140.1800000000003</v>
      </c>
      <c r="H22" s="20">
        <f t="shared" si="0"/>
        <v>15188.89</v>
      </c>
      <c r="I22" s="9"/>
      <c r="J22" s="20">
        <f>I22+март!J20</f>
        <v>0</v>
      </c>
      <c r="K22" s="8"/>
      <c r="L22" s="19">
        <f>K22+март!L20</f>
        <v>0</v>
      </c>
    </row>
    <row r="23" spans="1:12">
      <c r="A23" s="1">
        <f t="shared" si="1"/>
        <v>19</v>
      </c>
      <c r="B23" s="40" t="str">
        <f>март!B21</f>
        <v>Капитальный ремонт</v>
      </c>
      <c r="C23" s="8">
        <v>0</v>
      </c>
      <c r="D23" s="19">
        <v>0</v>
      </c>
      <c r="E23" s="9">
        <v>0</v>
      </c>
      <c r="F23" s="19">
        <f>E23+март!F21</f>
        <v>0</v>
      </c>
      <c r="G23" s="19">
        <f t="shared" si="0"/>
        <v>0</v>
      </c>
      <c r="H23" s="20">
        <f t="shared" si="0"/>
        <v>0</v>
      </c>
      <c r="I23" s="9"/>
      <c r="J23" s="20">
        <f>I23+март!J21</f>
        <v>0</v>
      </c>
      <c r="K23" s="8"/>
      <c r="L23" s="19">
        <f>K23+март!L21</f>
        <v>0</v>
      </c>
    </row>
    <row r="24" spans="1:12">
      <c r="A24" s="1">
        <f t="shared" si="1"/>
        <v>20</v>
      </c>
      <c r="B24" s="40" t="str">
        <f>март!B22</f>
        <v>Гор. Водоснабж. (о/д нужды)</v>
      </c>
      <c r="C24" s="8">
        <v>714.26</v>
      </c>
      <c r="D24" s="19">
        <v>1999.74</v>
      </c>
      <c r="E24" s="9">
        <v>675.13</v>
      </c>
      <c r="F24" s="19">
        <f>E24+март!F22</f>
        <v>9770.41</v>
      </c>
      <c r="G24" s="19">
        <f t="shared" si="0"/>
        <v>-39.129999999999995</v>
      </c>
      <c r="H24" s="20">
        <f t="shared" si="0"/>
        <v>7770.67</v>
      </c>
      <c r="I24" s="9"/>
      <c r="J24" s="20">
        <f>I24+март!J22</f>
        <v>0</v>
      </c>
      <c r="K24" s="8"/>
      <c r="L24" s="19">
        <f>K24+март!L22</f>
        <v>0</v>
      </c>
    </row>
    <row r="25" spans="1:12">
      <c r="A25" s="17"/>
      <c r="B25" s="18" t="s">
        <v>12</v>
      </c>
      <c r="C25" s="31">
        <f t="shared" ref="C25:L25" si="2">SUM(C5:C24)</f>
        <v>154505.96000000005</v>
      </c>
      <c r="D25" s="19">
        <f t="shared" si="2"/>
        <v>473716.47000000003</v>
      </c>
      <c r="E25" s="32">
        <f t="shared" si="2"/>
        <v>131593.76</v>
      </c>
      <c r="F25" s="19">
        <f t="shared" si="2"/>
        <v>638351.07000000007</v>
      </c>
      <c r="G25" s="19">
        <f t="shared" si="2"/>
        <v>-22912.200000000008</v>
      </c>
      <c r="H25" s="20">
        <f t="shared" si="2"/>
        <v>164634.59999999995</v>
      </c>
      <c r="I25" s="20">
        <f t="shared" si="2"/>
        <v>0</v>
      </c>
      <c r="J25" s="20">
        <f t="shared" si="2"/>
        <v>0</v>
      </c>
      <c r="K25" s="19">
        <f t="shared" si="2"/>
        <v>0</v>
      </c>
      <c r="L25" s="19">
        <f t="shared" si="2"/>
        <v>0</v>
      </c>
    </row>
    <row r="26" spans="1:12">
      <c r="I26" s="12"/>
    </row>
    <row r="28" spans="1:12">
      <c r="B28" s="1" t="s">
        <v>37</v>
      </c>
      <c r="C28" s="9">
        <f>C11+C12+C13+C17+C19+C20</f>
        <v>17020.099999999999</v>
      </c>
      <c r="D28" s="9">
        <f t="shared" ref="D28:J28" si="3">D11+D12+D13+D17+D19+D20</f>
        <v>46363.47</v>
      </c>
      <c r="E28" s="9">
        <f t="shared" si="3"/>
        <v>12183.74</v>
      </c>
      <c r="F28" s="9">
        <f t="shared" si="3"/>
        <v>59540.41</v>
      </c>
      <c r="G28" s="9">
        <f t="shared" si="3"/>
        <v>-4836.3600000000006</v>
      </c>
      <c r="H28" s="9">
        <f t="shared" si="3"/>
        <v>13176.939999999999</v>
      </c>
      <c r="I28" s="9">
        <f t="shared" si="3"/>
        <v>0</v>
      </c>
      <c r="J28" s="9">
        <f t="shared" si="3"/>
        <v>0</v>
      </c>
    </row>
    <row r="29" spans="1:12">
      <c r="B29" s="1" t="s">
        <v>38</v>
      </c>
      <c r="C29" s="9">
        <f>C10+C22</f>
        <v>30097.480000000003</v>
      </c>
      <c r="D29" s="9">
        <f t="shared" ref="D29:J29" si="4">D10+D22</f>
        <v>81965.039999999994</v>
      </c>
      <c r="E29" s="9">
        <f t="shared" si="4"/>
        <v>25810.68</v>
      </c>
      <c r="F29" s="9">
        <f t="shared" si="4"/>
        <v>117720.86</v>
      </c>
      <c r="G29" s="9">
        <f t="shared" si="4"/>
        <v>-4286.7999999999993</v>
      </c>
      <c r="H29" s="9">
        <f t="shared" si="4"/>
        <v>35755.820000000007</v>
      </c>
      <c r="I29" s="9">
        <f t="shared" si="4"/>
        <v>0</v>
      </c>
      <c r="J29" s="9">
        <f t="shared" si="4"/>
        <v>0</v>
      </c>
    </row>
    <row r="30" spans="1:12">
      <c r="B30" s="1" t="s">
        <v>39</v>
      </c>
      <c r="C30" s="9">
        <f>C6+C7+C21+C24</f>
        <v>69777.14</v>
      </c>
      <c r="D30" s="9">
        <f t="shared" ref="D30:J30" si="5">D6+D7+D21+D24</f>
        <v>240111.87</v>
      </c>
      <c r="E30" s="9">
        <f t="shared" si="5"/>
        <v>63777.109999999993</v>
      </c>
      <c r="F30" s="9">
        <f t="shared" si="5"/>
        <v>321155.61999999994</v>
      </c>
      <c r="G30" s="9">
        <f t="shared" si="5"/>
        <v>-6000.0300000000016</v>
      </c>
      <c r="H30" s="9">
        <f t="shared" si="5"/>
        <v>81043.749999999971</v>
      </c>
      <c r="I30" s="9">
        <f t="shared" si="5"/>
        <v>0</v>
      </c>
      <c r="J30" s="9">
        <f t="shared" si="5"/>
        <v>0</v>
      </c>
    </row>
    <row r="36" spans="8:9">
      <c r="H36">
        <v>31645.96</v>
      </c>
      <c r="I36">
        <v>30112.95</v>
      </c>
    </row>
    <row r="37" spans="8:9">
      <c r="H37">
        <v>122860</v>
      </c>
      <c r="I37">
        <v>101480.81</v>
      </c>
    </row>
    <row r="38" spans="8:9">
      <c r="H38" s="11">
        <f>H36+H37</f>
        <v>154505.96</v>
      </c>
      <c r="I38" s="11">
        <f>I36+I37</f>
        <v>131593.76</v>
      </c>
    </row>
  </sheetData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J41" sqref="J41"/>
    </sheetView>
  </sheetViews>
  <sheetFormatPr defaultRowHeight="12.75"/>
  <cols>
    <col min="1" max="1" width="4" customWidth="1"/>
    <col min="2" max="2" width="30.28515625" customWidth="1"/>
    <col min="3" max="3" width="10.7109375" customWidth="1"/>
    <col min="4" max="4" width="11.28515625" customWidth="1"/>
    <col min="5" max="5" width="11" customWidth="1"/>
    <col min="6" max="6" width="12" customWidth="1"/>
    <col min="7" max="7" width="11.42578125" customWidth="1"/>
    <col min="8" max="8" width="11.140625" customWidth="1"/>
    <col min="9" max="9" width="9.42578125" bestFit="1" customWidth="1"/>
    <col min="10" max="11" width="10.85546875" customWidth="1"/>
    <col min="12" max="12" width="11.7109375" customWidth="1"/>
    <col min="13" max="13" width="10.7109375" bestFit="1" customWidth="1"/>
  </cols>
  <sheetData>
    <row r="1" spans="1:13">
      <c r="D1" s="23"/>
      <c r="F1" s="23"/>
      <c r="G1" s="23"/>
      <c r="H1" s="23"/>
    </row>
    <row r="2" spans="1:13" s="30" customFormat="1" ht="33.75" customHeight="1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>
      <c r="A3" s="1">
        <v>1</v>
      </c>
      <c r="B3" s="40" t="str">
        <f>апрель!B5</f>
        <v>Содержание общ.имущ.дома</v>
      </c>
      <c r="C3" s="8">
        <f>15143.5+3811.65</f>
        <v>18955.150000000001</v>
      </c>
      <c r="D3" s="19">
        <f>C3+апрель!D5</f>
        <v>72008.950000000012</v>
      </c>
      <c r="E3" s="9">
        <f>4373.29+14327.21</f>
        <v>18700.5</v>
      </c>
      <c r="F3" s="19">
        <f>E3+апрель!F5</f>
        <v>88322.47</v>
      </c>
      <c r="G3" s="19">
        <f>E3-C3</f>
        <v>-254.65000000000146</v>
      </c>
      <c r="H3" s="20">
        <f>F3-D3</f>
        <v>16313.51999999999</v>
      </c>
      <c r="I3" s="9"/>
      <c r="J3" s="20">
        <f>I3+апрель!J5</f>
        <v>0</v>
      </c>
      <c r="K3" s="8"/>
      <c r="L3" s="19">
        <f>K3+апрель!L5</f>
        <v>0</v>
      </c>
    </row>
    <row r="4" spans="1:13">
      <c r="A4" s="1">
        <f>A3+1</f>
        <v>2</v>
      </c>
      <c r="B4" s="40" t="str">
        <f>апрель!B6</f>
        <v>Отопление</v>
      </c>
      <c r="C4" s="8">
        <f>6827.21+27124.26</f>
        <v>33951.47</v>
      </c>
      <c r="D4" s="19">
        <f>C4+апрель!D6</f>
        <v>223929.24</v>
      </c>
      <c r="E4" s="9">
        <f>13230.62+414262.38</f>
        <v>427493</v>
      </c>
      <c r="F4" s="19">
        <f>E4+апрель!F6</f>
        <v>677888.55999999994</v>
      </c>
      <c r="G4" s="19">
        <f t="shared" ref="G4:H22" si="0">E4-C4</f>
        <v>393541.53</v>
      </c>
      <c r="H4" s="20">
        <f t="shared" si="0"/>
        <v>453959.31999999995</v>
      </c>
      <c r="I4" s="9"/>
      <c r="J4" s="20">
        <f>I4+апрель!J6</f>
        <v>0</v>
      </c>
      <c r="K4" s="8"/>
      <c r="L4" s="19">
        <f>K4+апрель!L6</f>
        <v>0</v>
      </c>
      <c r="M4" s="12">
        <f>L4-J4</f>
        <v>0</v>
      </c>
    </row>
    <row r="5" spans="1:13">
      <c r="A5" s="1">
        <f t="shared" ref="A5:A22" si="1">A4+1</f>
        <v>3</v>
      </c>
      <c r="B5" s="40" t="str">
        <f>апрель!B7</f>
        <v>Горячее водоснабжение</v>
      </c>
      <c r="C5" s="8">
        <f>16920+3219.35</f>
        <v>20139.349999999999</v>
      </c>
      <c r="D5" s="19">
        <f>C5+апрель!D7</f>
        <v>68273.709999999992</v>
      </c>
      <c r="E5" s="9">
        <f>4469.46+12167.28</f>
        <v>16636.740000000002</v>
      </c>
      <c r="F5" s="19">
        <f>E5+апрель!F7</f>
        <v>77626.39</v>
      </c>
      <c r="G5" s="19">
        <f t="shared" si="0"/>
        <v>-3502.6099999999969</v>
      </c>
      <c r="H5" s="20">
        <f t="shared" si="0"/>
        <v>9352.6800000000076</v>
      </c>
      <c r="I5" s="9"/>
      <c r="J5" s="20">
        <f>I5+апрель!J7</f>
        <v>0</v>
      </c>
      <c r="K5" s="8"/>
      <c r="L5" s="19">
        <f>K5+апрель!L7</f>
        <v>0</v>
      </c>
    </row>
    <row r="6" spans="1:13">
      <c r="A6" s="1">
        <f t="shared" si="1"/>
        <v>4</v>
      </c>
      <c r="B6" s="40" t="str">
        <f>апрель!B8</f>
        <v>Газ</v>
      </c>
      <c r="C6" s="8">
        <f>0+0</f>
        <v>0</v>
      </c>
      <c r="D6" s="19">
        <f>C6+апрель!D8</f>
        <v>0</v>
      </c>
      <c r="E6" s="9">
        <f>0+0</f>
        <v>0</v>
      </c>
      <c r="F6" s="19">
        <f>E6+апрель!F8</f>
        <v>0</v>
      </c>
      <c r="G6" s="19">
        <f t="shared" si="0"/>
        <v>0</v>
      </c>
      <c r="H6" s="20">
        <f t="shared" si="0"/>
        <v>0</v>
      </c>
      <c r="I6" s="9"/>
      <c r="J6" s="20">
        <f>I6+апрель!J8</f>
        <v>0</v>
      </c>
      <c r="K6" s="8"/>
      <c r="L6" s="19">
        <f>K6+апрель!L8</f>
        <v>0</v>
      </c>
    </row>
    <row r="7" spans="1:13" ht="12" customHeight="1">
      <c r="A7" s="1">
        <f t="shared" si="1"/>
        <v>5</v>
      </c>
      <c r="B7" s="40" t="str">
        <f>апрель!B9</f>
        <v>Уборка и сан.очистка зем.уч.</v>
      </c>
      <c r="C7" s="8">
        <f>2077.47+522.89</f>
        <v>2600.3599999999997</v>
      </c>
      <c r="D7" s="19">
        <f>C7+апрель!D9</f>
        <v>9878.5499999999993</v>
      </c>
      <c r="E7" s="9">
        <f>600.42+1966.36</f>
        <v>2566.7799999999997</v>
      </c>
      <c r="F7" s="19">
        <f>E7+апрель!F9</f>
        <v>12219.52</v>
      </c>
      <c r="G7" s="19">
        <f t="shared" si="0"/>
        <v>-33.579999999999927</v>
      </c>
      <c r="H7" s="20">
        <f t="shared" si="0"/>
        <v>2340.9700000000012</v>
      </c>
      <c r="I7" s="9"/>
      <c r="J7" s="20">
        <f>I7+апрель!J9</f>
        <v>0</v>
      </c>
      <c r="K7" s="8"/>
      <c r="L7" s="19">
        <f>K7+апрель!L9</f>
        <v>0</v>
      </c>
    </row>
    <row r="8" spans="1:13" ht="17.25" customHeight="1">
      <c r="A8" s="1">
        <f t="shared" si="1"/>
        <v>6</v>
      </c>
      <c r="B8" s="40" t="str">
        <f>апрель!B10</f>
        <v>Электроснабжение(инд.потр)</v>
      </c>
      <c r="C8" s="8">
        <f>19244.88+5113.16</f>
        <v>24358.04</v>
      </c>
      <c r="D8" s="19">
        <f>C8+апрель!D10</f>
        <v>90887.94</v>
      </c>
      <c r="E8" s="9">
        <f>6045.78+16647.41</f>
        <v>22693.19</v>
      </c>
      <c r="F8" s="19">
        <f>E8+апрель!F10</f>
        <v>109790.02</v>
      </c>
      <c r="G8" s="19">
        <f t="shared" si="0"/>
        <v>-1664.8500000000022</v>
      </c>
      <c r="H8" s="20">
        <f t="shared" si="0"/>
        <v>18902.080000000002</v>
      </c>
      <c r="I8" s="9"/>
      <c r="J8" s="20">
        <f>I8+апрель!J10</f>
        <v>0</v>
      </c>
      <c r="K8" s="8"/>
      <c r="L8" s="19">
        <f>K8+апрель!L10</f>
        <v>0</v>
      </c>
    </row>
    <row r="9" spans="1:13">
      <c r="A9" s="1">
        <f t="shared" si="1"/>
        <v>7</v>
      </c>
      <c r="B9" s="40" t="str">
        <f>апрель!B11</f>
        <v>Холодная вода</v>
      </c>
      <c r="C9" s="8">
        <f>6821.51+1295.67</f>
        <v>8117.18</v>
      </c>
      <c r="D9" s="19">
        <f>C9+апрель!D11</f>
        <v>24575.24</v>
      </c>
      <c r="E9" s="9">
        <f>1445.58+4541.85</f>
        <v>5987.43</v>
      </c>
      <c r="F9" s="19">
        <f>E9+апрель!F11</f>
        <v>26369.26</v>
      </c>
      <c r="G9" s="19">
        <f t="shared" si="0"/>
        <v>-2129.75</v>
      </c>
      <c r="H9" s="20">
        <f t="shared" si="0"/>
        <v>1794.0199999999968</v>
      </c>
      <c r="I9" s="9"/>
      <c r="J9" s="20">
        <f>I9+апрель!J11</f>
        <v>0</v>
      </c>
      <c r="K9" s="8"/>
      <c r="L9" s="19">
        <f>K9+апрель!L11</f>
        <v>0</v>
      </c>
    </row>
    <row r="10" spans="1:13">
      <c r="A10" s="1">
        <f t="shared" si="1"/>
        <v>8</v>
      </c>
      <c r="B10" s="40" t="str">
        <f>апрель!B12</f>
        <v>Канализирование х.воды</v>
      </c>
      <c r="C10" s="8">
        <f>0+0</f>
        <v>0</v>
      </c>
      <c r="D10" s="19">
        <f>C10+апрель!D12</f>
        <v>0</v>
      </c>
      <c r="E10" s="9">
        <f>0+0</f>
        <v>0</v>
      </c>
      <c r="F10" s="19">
        <f>E10+апрель!F12</f>
        <v>0</v>
      </c>
      <c r="G10" s="19">
        <f t="shared" si="0"/>
        <v>0</v>
      </c>
      <c r="H10" s="20">
        <f t="shared" si="0"/>
        <v>0</v>
      </c>
      <c r="I10" s="9"/>
      <c r="J10" s="20">
        <f>I10+апрель!J12</f>
        <v>0</v>
      </c>
      <c r="K10" s="8"/>
      <c r="L10" s="19">
        <f>K10+апрель!L12</f>
        <v>0</v>
      </c>
    </row>
    <row r="11" spans="1:13">
      <c r="A11" s="1">
        <f t="shared" si="1"/>
        <v>9</v>
      </c>
      <c r="B11" s="40" t="str">
        <f>апрель!B13</f>
        <v>Канализирование г.воды</v>
      </c>
      <c r="C11" s="8">
        <f>0+0</f>
        <v>0</v>
      </c>
      <c r="D11" s="19">
        <f>C11+апрель!D13</f>
        <v>0</v>
      </c>
      <c r="E11" s="9">
        <f>0+0</f>
        <v>0</v>
      </c>
      <c r="F11" s="19">
        <f>E11+апрель!F13</f>
        <v>0</v>
      </c>
      <c r="G11" s="19">
        <f t="shared" si="0"/>
        <v>0</v>
      </c>
      <c r="H11" s="20">
        <f t="shared" si="0"/>
        <v>0</v>
      </c>
      <c r="I11" s="9"/>
      <c r="J11" s="20">
        <f>I11+апрель!J13</f>
        <v>0</v>
      </c>
      <c r="K11" s="8"/>
      <c r="L11" s="19">
        <f>K11+апрель!L13</f>
        <v>0</v>
      </c>
    </row>
    <row r="12" spans="1:13">
      <c r="A12" s="1">
        <f t="shared" si="1"/>
        <v>10</v>
      </c>
      <c r="B12" s="40" t="str">
        <f>апрель!B14</f>
        <v>Тек.рем.общ.имущ.дома</v>
      </c>
      <c r="C12" s="8">
        <f>7981.75+2009.02</f>
        <v>9990.77</v>
      </c>
      <c r="D12" s="19">
        <f>C12+апрель!D14</f>
        <v>37954.06</v>
      </c>
      <c r="E12" s="9">
        <f>2318.66+7568.88</f>
        <v>9887.5400000000009</v>
      </c>
      <c r="F12" s="19">
        <f>E12+апрель!F14</f>
        <v>48205.52</v>
      </c>
      <c r="G12" s="19">
        <f t="shared" si="0"/>
        <v>-103.22999999999956</v>
      </c>
      <c r="H12" s="20">
        <f t="shared" si="0"/>
        <v>10251.459999999999</v>
      </c>
      <c r="I12" s="9"/>
      <c r="J12" s="20">
        <f>I12+апрель!J14</f>
        <v>0</v>
      </c>
      <c r="K12" s="8"/>
      <c r="L12" s="19">
        <f>K12+апрель!L14</f>
        <v>0</v>
      </c>
    </row>
    <row r="13" spans="1:13" ht="13.5" customHeight="1">
      <c r="A13" s="1">
        <f t="shared" si="1"/>
        <v>11</v>
      </c>
      <c r="B13" s="40" t="str">
        <f>апрель!B15</f>
        <v>Сод.и тек.рем.в/дом.газосн</v>
      </c>
      <c r="C13" s="8">
        <f>213.04+873.66</f>
        <v>1086.7</v>
      </c>
      <c r="D13" s="19">
        <f>C13+апрель!D15</f>
        <v>4133.78</v>
      </c>
      <c r="E13" s="9">
        <f>840.88+239.69</f>
        <v>1080.57</v>
      </c>
      <c r="F13" s="19">
        <f>E13+апрель!F15</f>
        <v>5104.4800000000005</v>
      </c>
      <c r="G13" s="19">
        <f t="shared" si="0"/>
        <v>-6.1300000000001091</v>
      </c>
      <c r="H13" s="20">
        <f t="shared" si="0"/>
        <v>970.70000000000073</v>
      </c>
      <c r="I13" s="9"/>
      <c r="J13" s="20">
        <f>I13+апрель!J15</f>
        <v>0</v>
      </c>
      <c r="K13" s="8"/>
      <c r="L13" s="19">
        <f>K13+апрель!L15</f>
        <v>0</v>
      </c>
    </row>
    <row r="14" spans="1:13" ht="16.5" customHeight="1">
      <c r="A14" s="1">
        <f t="shared" si="1"/>
        <v>12</v>
      </c>
      <c r="B14" s="40" t="str">
        <f>апрель!B16</f>
        <v>Управление многокв.домом</v>
      </c>
      <c r="C14" s="8">
        <f>787.79+3129.85</f>
        <v>3917.64</v>
      </c>
      <c r="D14" s="19">
        <f>C14+апрель!D16</f>
        <v>14882.769999999999</v>
      </c>
      <c r="E14" s="9">
        <f>2962.44+773.43</f>
        <v>3735.87</v>
      </c>
      <c r="F14" s="19">
        <f>E14+апрель!F16</f>
        <v>18113.689999999999</v>
      </c>
      <c r="G14" s="19">
        <f t="shared" si="0"/>
        <v>-181.76999999999998</v>
      </c>
      <c r="H14" s="20">
        <f t="shared" si="0"/>
        <v>3230.92</v>
      </c>
      <c r="I14" s="9"/>
      <c r="J14" s="20">
        <f>I14+апрель!J16</f>
        <v>0</v>
      </c>
      <c r="K14" s="8"/>
      <c r="L14" s="19">
        <f>K14+апрель!L16</f>
        <v>0</v>
      </c>
    </row>
    <row r="15" spans="1:13">
      <c r="A15" s="1">
        <f t="shared" si="1"/>
        <v>13</v>
      </c>
      <c r="B15" s="40" t="str">
        <f>апрель!B17</f>
        <v>Водоотведение(кв)</v>
      </c>
      <c r="C15" s="8">
        <f>2137.2+11333.07</f>
        <v>13470.27</v>
      </c>
      <c r="D15" s="19">
        <f>C15+апрель!D17</f>
        <v>42521.34</v>
      </c>
      <c r="E15" s="9">
        <f>7726.21+3001.95</f>
        <v>10728.16</v>
      </c>
      <c r="F15" s="19">
        <f>E15+апрель!F17</f>
        <v>47481.600000000006</v>
      </c>
      <c r="G15" s="19">
        <f t="shared" si="0"/>
        <v>-2742.1100000000006</v>
      </c>
      <c r="H15" s="20">
        <f t="shared" si="0"/>
        <v>4960.2600000000093</v>
      </c>
      <c r="I15" s="9"/>
      <c r="J15" s="20">
        <f>I15+апрель!J17</f>
        <v>0</v>
      </c>
      <c r="K15" s="8"/>
      <c r="L15" s="19">
        <f>K15+апрель!L17</f>
        <v>0</v>
      </c>
    </row>
    <row r="16" spans="1:13">
      <c r="A16" s="1">
        <f t="shared" si="1"/>
        <v>14</v>
      </c>
      <c r="B16" s="40" t="str">
        <f>апрель!B18</f>
        <v>Эксплуатация общед.ПУ</v>
      </c>
      <c r="C16" s="8">
        <f>213.28+847.34</f>
        <v>1060.6200000000001</v>
      </c>
      <c r="D16" s="19">
        <f>C16+апрель!D18</f>
        <v>4029.2200000000003</v>
      </c>
      <c r="E16" s="9">
        <f>802.05+287.11</f>
        <v>1089.1599999999999</v>
      </c>
      <c r="F16" s="19">
        <f>E16+апрель!F18</f>
        <v>5028.92</v>
      </c>
      <c r="G16" s="19">
        <f t="shared" si="0"/>
        <v>28.539999999999736</v>
      </c>
      <c r="H16" s="20">
        <f t="shared" si="0"/>
        <v>999.69999999999982</v>
      </c>
      <c r="I16" s="9"/>
      <c r="J16" s="20">
        <f>I16+апрель!J18</f>
        <v>0</v>
      </c>
      <c r="K16" s="8"/>
      <c r="L16" s="19">
        <f>K16+апрель!L18</f>
        <v>0</v>
      </c>
    </row>
    <row r="17" spans="1:12" ht="14.25" customHeight="1">
      <c r="A17" s="1">
        <f t="shared" si="1"/>
        <v>15</v>
      </c>
      <c r="B17" s="40" t="str">
        <f>апрель!B19</f>
        <v>Хол. водоснаб(о/д нужды)</v>
      </c>
      <c r="C17" s="8">
        <f>61.31+243.9</f>
        <v>305.21000000000004</v>
      </c>
      <c r="D17" s="19">
        <f>C17+апрель!D19</f>
        <v>1159.5500000000002</v>
      </c>
      <c r="E17" s="9">
        <f>233.87+47.31</f>
        <v>281.18</v>
      </c>
      <c r="F17" s="19">
        <f>E17+апрель!F19</f>
        <v>2686.32</v>
      </c>
      <c r="G17" s="19">
        <f t="shared" si="0"/>
        <v>-24.03000000000003</v>
      </c>
      <c r="H17" s="20">
        <f t="shared" si="0"/>
        <v>1526.77</v>
      </c>
      <c r="I17" s="9"/>
      <c r="J17" s="20">
        <f>I17+апрель!J19</f>
        <v>0</v>
      </c>
      <c r="K17" s="8"/>
      <c r="L17" s="19">
        <f>K17+апрель!L19</f>
        <v>0</v>
      </c>
    </row>
    <row r="18" spans="1:12" ht="14.25" customHeight="1">
      <c r="A18" s="1">
        <f t="shared" si="1"/>
        <v>16</v>
      </c>
      <c r="B18" s="40" t="str">
        <f>апрель!B20</f>
        <v>Водоотведение(о/д нужды)</v>
      </c>
      <c r="C18" s="8">
        <f>0+0</f>
        <v>0</v>
      </c>
      <c r="D18" s="19">
        <f>C18+апрель!D20</f>
        <v>0</v>
      </c>
      <c r="E18" s="9">
        <f>0+0</f>
        <v>0</v>
      </c>
      <c r="F18" s="19">
        <f>E18+апрель!F20</f>
        <v>0</v>
      </c>
      <c r="G18" s="19">
        <f t="shared" si="0"/>
        <v>0</v>
      </c>
      <c r="H18" s="20">
        <f t="shared" si="0"/>
        <v>0</v>
      </c>
      <c r="I18" s="9"/>
      <c r="J18" s="20">
        <f>I18+апрель!J20</f>
        <v>0</v>
      </c>
      <c r="K18" s="8"/>
      <c r="L18" s="19">
        <f>K18+апрель!L20</f>
        <v>0</v>
      </c>
    </row>
    <row r="19" spans="1:12">
      <c r="A19" s="1">
        <f t="shared" si="1"/>
        <v>17</v>
      </c>
      <c r="B19" s="40" t="str">
        <f>апрель!B21</f>
        <v>Отопление(о/д нужды)</v>
      </c>
      <c r="C19" s="8">
        <f>0+0</f>
        <v>0</v>
      </c>
      <c r="D19" s="19">
        <f>C19+апрель!D21</f>
        <v>0</v>
      </c>
      <c r="E19" s="9">
        <f>0+0</f>
        <v>0</v>
      </c>
      <c r="F19" s="19">
        <f>E19+апрель!F21</f>
        <v>0</v>
      </c>
      <c r="G19" s="19">
        <f t="shared" si="0"/>
        <v>0</v>
      </c>
      <c r="H19" s="20">
        <f t="shared" si="0"/>
        <v>0</v>
      </c>
      <c r="I19" s="9"/>
      <c r="J19" s="20">
        <f>I19+апрель!J21</f>
        <v>0</v>
      </c>
      <c r="K19" s="9"/>
      <c r="L19" s="19">
        <f>K19+апрель!L21</f>
        <v>0</v>
      </c>
    </row>
    <row r="20" spans="1:12" ht="17.25" customHeight="1">
      <c r="A20" s="1">
        <f t="shared" si="1"/>
        <v>18</v>
      </c>
      <c r="B20" s="40" t="str">
        <f>апрель!B22</f>
        <v>Электроснабжение(общед.нужды)</v>
      </c>
      <c r="C20" s="8">
        <f>3715.48+1401.05</f>
        <v>5116.53</v>
      </c>
      <c r="D20" s="19">
        <f>C20+апрель!D22</f>
        <v>20551.669999999998</v>
      </c>
      <c r="E20" s="9">
        <f>1980.14+4310</f>
        <v>6290.14</v>
      </c>
      <c r="F20" s="19">
        <f>E20+апрель!F22</f>
        <v>36914.17</v>
      </c>
      <c r="G20" s="19">
        <f t="shared" si="0"/>
        <v>1173.6100000000006</v>
      </c>
      <c r="H20" s="20">
        <f t="shared" si="0"/>
        <v>16362.5</v>
      </c>
      <c r="I20" s="9"/>
      <c r="J20" s="20">
        <f>I20+апрель!J22</f>
        <v>0</v>
      </c>
      <c r="K20" s="8"/>
      <c r="L20" s="19">
        <f>K20+апрель!L22</f>
        <v>0</v>
      </c>
    </row>
    <row r="21" spans="1:12">
      <c r="A21" s="1">
        <f t="shared" si="1"/>
        <v>19</v>
      </c>
      <c r="B21" s="40" t="str">
        <f>апрель!B23</f>
        <v>Капитальный ремонт</v>
      </c>
      <c r="C21" s="8">
        <f>0+0</f>
        <v>0</v>
      </c>
      <c r="D21" s="19">
        <f>C21+апрель!D23</f>
        <v>0</v>
      </c>
      <c r="E21" s="9">
        <f>0+0</f>
        <v>0</v>
      </c>
      <c r="F21" s="19">
        <f>E21+апрель!F23</f>
        <v>0</v>
      </c>
      <c r="G21" s="19">
        <f t="shared" si="0"/>
        <v>0</v>
      </c>
      <c r="H21" s="20">
        <f t="shared" si="0"/>
        <v>0</v>
      </c>
      <c r="I21" s="9"/>
      <c r="J21" s="20">
        <f>I21+апрель!J23</f>
        <v>0</v>
      </c>
      <c r="K21" s="8"/>
      <c r="L21" s="19">
        <f>K21+апрель!L23</f>
        <v>0</v>
      </c>
    </row>
    <row r="22" spans="1:12">
      <c r="A22" s="1">
        <f t="shared" si="1"/>
        <v>20</v>
      </c>
      <c r="B22" s="40" t="str">
        <f>апрель!B24</f>
        <v>Гор. Водоснабж. (о/д нужды)</v>
      </c>
      <c r="C22" s="8">
        <f>569.26+145</f>
        <v>714.26</v>
      </c>
      <c r="D22" s="19">
        <f>C22+апрель!D24</f>
        <v>2714</v>
      </c>
      <c r="E22" s="62">
        <f>120.99+545.03</f>
        <v>666.02</v>
      </c>
      <c r="F22" s="19">
        <f>E22+апрель!F24</f>
        <v>10436.43</v>
      </c>
      <c r="G22" s="19">
        <f t="shared" si="0"/>
        <v>-48.240000000000009</v>
      </c>
      <c r="H22" s="20">
        <f t="shared" si="0"/>
        <v>7722.43</v>
      </c>
      <c r="I22" s="9"/>
      <c r="J22" s="20">
        <f>I22+апрель!J24</f>
        <v>0</v>
      </c>
      <c r="K22" s="8"/>
      <c r="L22" s="19">
        <f>K22+апрель!L24</f>
        <v>0</v>
      </c>
    </row>
    <row r="23" spans="1:12">
      <c r="A23" s="17"/>
      <c r="B23" s="18" t="s">
        <v>12</v>
      </c>
      <c r="C23" s="31">
        <f t="shared" ref="C23:L23" si="2">SUM(C3:C22)</f>
        <v>143783.54999999999</v>
      </c>
      <c r="D23" s="19">
        <f t="shared" si="2"/>
        <v>617500.02</v>
      </c>
      <c r="E23" s="32">
        <f t="shared" si="2"/>
        <v>527836.27999999991</v>
      </c>
      <c r="F23" s="19">
        <f t="shared" si="2"/>
        <v>1166187.3499999999</v>
      </c>
      <c r="G23" s="19">
        <f t="shared" si="2"/>
        <v>384052.73</v>
      </c>
      <c r="H23" s="20">
        <f t="shared" si="2"/>
        <v>548687.33000000007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4" spans="1:12" ht="10.5" customHeight="1"/>
    <row r="25" spans="1:12" hidden="1"/>
    <row r="26" spans="1:12">
      <c r="B26" s="1" t="s">
        <v>37</v>
      </c>
      <c r="C26" s="9">
        <f>C9+C10+C11+C15+C17+C18</f>
        <v>21892.66</v>
      </c>
      <c r="D26" s="9">
        <f t="shared" ref="D26:J26" si="3">D9+D10+D11+D15+D17+D18</f>
        <v>68256.13</v>
      </c>
      <c r="E26" s="9">
        <f t="shared" si="3"/>
        <v>16996.77</v>
      </c>
      <c r="F26" s="9">
        <f t="shared" si="3"/>
        <v>76537.180000000008</v>
      </c>
      <c r="G26" s="9">
        <f t="shared" si="3"/>
        <v>-4895.8900000000003</v>
      </c>
      <c r="H26" s="9">
        <f t="shared" si="3"/>
        <v>8281.0500000000065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29474.57</v>
      </c>
      <c r="D27" s="9">
        <f t="shared" ref="D27:J27" si="4">D8+D20</f>
        <v>111439.61</v>
      </c>
      <c r="E27" s="9">
        <f t="shared" si="4"/>
        <v>28983.329999999998</v>
      </c>
      <c r="F27" s="9">
        <f t="shared" si="4"/>
        <v>146704.19</v>
      </c>
      <c r="G27" s="9">
        <f t="shared" si="4"/>
        <v>-491.2400000000016</v>
      </c>
      <c r="H27" s="9">
        <f t="shared" si="4"/>
        <v>35264.58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54805.08</v>
      </c>
      <c r="D28" s="9">
        <f t="shared" ref="D28:J28" si="5">D4+D5+D19+D22</f>
        <v>294916.94999999995</v>
      </c>
      <c r="E28" s="9">
        <f t="shared" si="5"/>
        <v>444795.76</v>
      </c>
      <c r="F28" s="9">
        <f t="shared" si="5"/>
        <v>765951.38</v>
      </c>
      <c r="G28" s="9">
        <f t="shared" si="5"/>
        <v>389990.68000000005</v>
      </c>
      <c r="H28" s="9">
        <f t="shared" si="5"/>
        <v>471034.42999999993</v>
      </c>
      <c r="I28" s="9">
        <f t="shared" si="5"/>
        <v>0</v>
      </c>
      <c r="J28" s="9">
        <f t="shared" si="5"/>
        <v>0</v>
      </c>
    </row>
    <row r="31" spans="1:12">
      <c r="J31">
        <v>116025.93</v>
      </c>
      <c r="K31">
        <v>115901.85</v>
      </c>
    </row>
    <row r="32" spans="1:12">
      <c r="J32">
        <v>27757.62</v>
      </c>
      <c r="K32">
        <v>38934.43</v>
      </c>
    </row>
    <row r="33" spans="10:11">
      <c r="J33" s="11">
        <f>J31+J32</f>
        <v>143783.54999999999</v>
      </c>
      <c r="K33" s="11">
        <f>K31+K32</f>
        <v>154836.28</v>
      </c>
    </row>
  </sheetData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workbookViewId="0">
      <selection activeCell="B30" sqref="B30"/>
    </sheetView>
  </sheetViews>
  <sheetFormatPr defaultRowHeight="12.75"/>
  <cols>
    <col min="1" max="1" width="4.140625" style="10" customWidth="1"/>
    <col min="2" max="2" width="30.7109375" customWidth="1"/>
    <col min="3" max="3" width="10.42578125" customWidth="1"/>
    <col min="4" max="4" width="11.5703125" customWidth="1"/>
    <col min="5" max="5" width="11" customWidth="1"/>
    <col min="6" max="6" width="12.140625" customWidth="1"/>
    <col min="7" max="7" width="9.7109375" bestFit="1" customWidth="1"/>
    <col min="8" max="8" width="11.140625" customWidth="1"/>
    <col min="9" max="9" width="11.28515625" customWidth="1"/>
    <col min="10" max="10" width="11.7109375" customWidth="1"/>
    <col min="11" max="11" width="9.28515625" bestFit="1" customWidth="1"/>
    <col min="12" max="12" width="10.140625" customWidth="1"/>
    <col min="13" max="13" width="9.7109375" bestFit="1" customWidth="1"/>
  </cols>
  <sheetData>
    <row r="2" spans="1:13" s="30" customFormat="1" ht="38.25">
      <c r="A2" s="35" t="s">
        <v>0</v>
      </c>
      <c r="B2" s="27" t="s">
        <v>1</v>
      </c>
      <c r="C2" s="36" t="s">
        <v>2</v>
      </c>
      <c r="D2" s="27" t="s">
        <v>3</v>
      </c>
      <c r="E2" s="29" t="s">
        <v>4</v>
      </c>
      <c r="F2" s="27" t="s">
        <v>5</v>
      </c>
      <c r="G2" s="27" t="s">
        <v>6</v>
      </c>
      <c r="H2" s="29" t="s">
        <v>7</v>
      </c>
      <c r="I2" s="29" t="s">
        <v>8</v>
      </c>
      <c r="J2" s="29" t="s">
        <v>9</v>
      </c>
      <c r="K2" s="27" t="s">
        <v>10</v>
      </c>
      <c r="L2" s="27" t="s">
        <v>11</v>
      </c>
    </row>
    <row r="3" spans="1:13">
      <c r="A3" s="1">
        <v>1</v>
      </c>
      <c r="B3" s="40" t="str">
        <f>май!B3</f>
        <v>Содержание общ.имущ.дома</v>
      </c>
      <c r="C3" s="8">
        <f>15143.5+3811.65</f>
        <v>18955.150000000001</v>
      </c>
      <c r="D3" s="19">
        <f>C3+май!D3</f>
        <v>90964.1</v>
      </c>
      <c r="E3" s="9">
        <f>3113.79+15963.34</f>
        <v>19077.13</v>
      </c>
      <c r="F3" s="19">
        <f>E3+май!F3</f>
        <v>107399.6</v>
      </c>
      <c r="G3" s="19">
        <f>E3-C3</f>
        <v>121.97999999999956</v>
      </c>
      <c r="H3" s="20">
        <f>F3-D3</f>
        <v>16435.5</v>
      </c>
      <c r="I3" s="9"/>
      <c r="J3" s="20">
        <f>I3+май!J3</f>
        <v>0</v>
      </c>
      <c r="K3" s="8"/>
      <c r="L3" s="19">
        <f>K3+май!L3</f>
        <v>0</v>
      </c>
    </row>
    <row r="4" spans="1:13">
      <c r="A4" s="1">
        <f>A3+1</f>
        <v>2</v>
      </c>
      <c r="B4" s="40" t="str">
        <f>май!B4</f>
        <v>Отопление</v>
      </c>
      <c r="C4" s="8">
        <f>0+0</f>
        <v>0</v>
      </c>
      <c r="D4" s="19">
        <f>C4+май!D4</f>
        <v>223929.24</v>
      </c>
      <c r="E4" s="9">
        <f>33664.59+7447.41</f>
        <v>41112</v>
      </c>
      <c r="F4" s="19">
        <f>E4+май!F4</f>
        <v>719000.55999999994</v>
      </c>
      <c r="G4" s="19">
        <f t="shared" ref="G4:H22" si="0">E4-C4</f>
        <v>41112</v>
      </c>
      <c r="H4" s="20">
        <f t="shared" si="0"/>
        <v>495071.31999999995</v>
      </c>
      <c r="I4" s="9"/>
      <c r="J4" s="20">
        <f>I4+май!J4</f>
        <v>0</v>
      </c>
      <c r="K4" s="8"/>
      <c r="L4" s="19">
        <f>K4+май!L4</f>
        <v>0</v>
      </c>
      <c r="M4" s="12">
        <f>L4-J4</f>
        <v>0</v>
      </c>
    </row>
    <row r="5" spans="1:13">
      <c r="A5" s="1">
        <f t="shared" ref="A5:A22" si="1">A4+1</f>
        <v>3</v>
      </c>
      <c r="B5" s="40" t="str">
        <f>май!B5</f>
        <v>Горячее водоснабжение</v>
      </c>
      <c r="C5" s="8">
        <f>4869.88+10440.5</f>
        <v>15310.380000000001</v>
      </c>
      <c r="D5" s="19">
        <f>C5+май!D5</f>
        <v>83584.09</v>
      </c>
      <c r="E5" s="9">
        <f>3181.84+15086.19</f>
        <v>18268.03</v>
      </c>
      <c r="F5" s="19">
        <f>E5+май!F5</f>
        <v>95894.42</v>
      </c>
      <c r="G5" s="19">
        <f t="shared" si="0"/>
        <v>2957.6499999999978</v>
      </c>
      <c r="H5" s="20">
        <f t="shared" si="0"/>
        <v>12310.330000000002</v>
      </c>
      <c r="I5" s="9"/>
      <c r="J5" s="20">
        <f>I5+май!J5</f>
        <v>0</v>
      </c>
      <c r="K5" s="8"/>
      <c r="L5" s="19">
        <f>K5+май!L5</f>
        <v>0</v>
      </c>
    </row>
    <row r="6" spans="1:13">
      <c r="A6" s="1">
        <f t="shared" si="1"/>
        <v>4</v>
      </c>
      <c r="B6" s="40" t="str">
        <f>май!B6</f>
        <v>Газ</v>
      </c>
      <c r="C6" s="8">
        <f>0+0</f>
        <v>0</v>
      </c>
      <c r="D6" s="19">
        <f>C6+май!D6</f>
        <v>0</v>
      </c>
      <c r="E6" s="9">
        <f>0+0</f>
        <v>0</v>
      </c>
      <c r="F6" s="19">
        <f>E6+май!F6</f>
        <v>0</v>
      </c>
      <c r="G6" s="19">
        <f t="shared" si="0"/>
        <v>0</v>
      </c>
      <c r="H6" s="20">
        <f t="shared" si="0"/>
        <v>0</v>
      </c>
      <c r="I6" s="9"/>
      <c r="J6" s="20">
        <f>I6+май!J6</f>
        <v>0</v>
      </c>
      <c r="K6" s="8"/>
      <c r="L6" s="19">
        <f>K6+май!L6</f>
        <v>0</v>
      </c>
    </row>
    <row r="7" spans="1:13" ht="14.25" customHeight="1">
      <c r="A7" s="1">
        <f t="shared" si="1"/>
        <v>5</v>
      </c>
      <c r="B7" s="40" t="str">
        <f>май!B7</f>
        <v>Уборка и сан.очистка зем.уч.</v>
      </c>
      <c r="C7" s="8">
        <f>2077.47+522.89</f>
        <v>2600.3599999999997</v>
      </c>
      <c r="D7" s="19">
        <f>C7+май!D7</f>
        <v>12478.91</v>
      </c>
      <c r="E7" s="9">
        <f>426.69+2195.31</f>
        <v>2622</v>
      </c>
      <c r="F7" s="19">
        <f>E7+май!F7</f>
        <v>14841.52</v>
      </c>
      <c r="G7" s="19">
        <f t="shared" si="0"/>
        <v>21.640000000000327</v>
      </c>
      <c r="H7" s="20">
        <f t="shared" si="0"/>
        <v>2362.6100000000006</v>
      </c>
      <c r="I7" s="9"/>
      <c r="J7" s="20">
        <f>I7+май!J7</f>
        <v>0</v>
      </c>
      <c r="K7" s="8"/>
      <c r="L7" s="19">
        <f>K7+май!L7</f>
        <v>0</v>
      </c>
    </row>
    <row r="8" spans="1:13" ht="15.75" customHeight="1">
      <c r="A8" s="1">
        <f t="shared" si="1"/>
        <v>6</v>
      </c>
      <c r="B8" s="40" t="str">
        <f>май!B8</f>
        <v>Электроснабжение(инд.потр)</v>
      </c>
      <c r="C8" s="8">
        <f>18924.84+5113.16</f>
        <v>24038</v>
      </c>
      <c r="D8" s="19">
        <f>C8+май!D8</f>
        <v>114925.94</v>
      </c>
      <c r="E8" s="9">
        <f>3961.27+19265.49</f>
        <v>23226.760000000002</v>
      </c>
      <c r="F8" s="19">
        <f>E8+май!F8</f>
        <v>133016.78</v>
      </c>
      <c r="G8" s="19">
        <f t="shared" si="0"/>
        <v>-811.23999999999796</v>
      </c>
      <c r="H8" s="20">
        <f t="shared" si="0"/>
        <v>18090.839999999997</v>
      </c>
      <c r="I8" s="9"/>
      <c r="J8" s="20">
        <f>I8+май!J8</f>
        <v>0</v>
      </c>
      <c r="K8" s="8"/>
      <c r="L8" s="19">
        <f>K8+май!L8</f>
        <v>0</v>
      </c>
    </row>
    <row r="9" spans="1:13">
      <c r="A9" s="1">
        <f t="shared" si="1"/>
        <v>7</v>
      </c>
      <c r="B9" s="40" t="str">
        <f>май!B9</f>
        <v>Холодная вода</v>
      </c>
      <c r="C9" s="8">
        <f>4587.89+1243.01</f>
        <v>5830.9000000000005</v>
      </c>
      <c r="D9" s="19">
        <f>C9+май!D9</f>
        <v>30406.140000000003</v>
      </c>
      <c r="E9" s="9">
        <f>1409.14+5954.59</f>
        <v>7363.7300000000005</v>
      </c>
      <c r="F9" s="19">
        <f>E9+май!F9</f>
        <v>33732.99</v>
      </c>
      <c r="G9" s="19">
        <f t="shared" si="0"/>
        <v>1532.83</v>
      </c>
      <c r="H9" s="20">
        <f t="shared" si="0"/>
        <v>3326.8499999999949</v>
      </c>
      <c r="I9" s="9"/>
      <c r="J9" s="20">
        <f>I9+май!J9</f>
        <v>0</v>
      </c>
      <c r="K9" s="8"/>
      <c r="L9" s="19">
        <f>K9+май!L9</f>
        <v>0</v>
      </c>
    </row>
    <row r="10" spans="1:13">
      <c r="A10" s="1">
        <f t="shared" si="1"/>
        <v>8</v>
      </c>
      <c r="B10" s="40" t="str">
        <f>май!B10</f>
        <v>Канализирование х.воды</v>
      </c>
      <c r="C10" s="8">
        <f>0+0</f>
        <v>0</v>
      </c>
      <c r="D10" s="19">
        <f>C10+май!D10</f>
        <v>0</v>
      </c>
      <c r="E10" s="9">
        <f>0+0</f>
        <v>0</v>
      </c>
      <c r="F10" s="19">
        <f>E10+май!F10</f>
        <v>0</v>
      </c>
      <c r="G10" s="19">
        <f t="shared" si="0"/>
        <v>0</v>
      </c>
      <c r="H10" s="20">
        <f t="shared" si="0"/>
        <v>0</v>
      </c>
      <c r="I10" s="9"/>
      <c r="J10" s="20">
        <f>I10+май!J10</f>
        <v>0</v>
      </c>
      <c r="K10" s="8"/>
      <c r="L10" s="19">
        <f>K10+май!L10</f>
        <v>0</v>
      </c>
    </row>
    <row r="11" spans="1:13">
      <c r="A11" s="1">
        <f t="shared" si="1"/>
        <v>9</v>
      </c>
      <c r="B11" s="40" t="str">
        <f>май!B11</f>
        <v>Канализирование г.воды</v>
      </c>
      <c r="C11" s="8">
        <f>0+0</f>
        <v>0</v>
      </c>
      <c r="D11" s="19">
        <f>C11+май!D11</f>
        <v>0</v>
      </c>
      <c r="E11" s="9">
        <f>0+0</f>
        <v>0</v>
      </c>
      <c r="F11" s="19">
        <f>E11+май!F11</f>
        <v>0</v>
      </c>
      <c r="G11" s="19">
        <f t="shared" si="0"/>
        <v>0</v>
      </c>
      <c r="H11" s="20">
        <f t="shared" si="0"/>
        <v>0</v>
      </c>
      <c r="I11" s="9"/>
      <c r="J11" s="20">
        <f>I11+май!J11</f>
        <v>0</v>
      </c>
      <c r="K11" s="8"/>
      <c r="L11" s="19">
        <f>K11+май!L11</f>
        <v>0</v>
      </c>
    </row>
    <row r="12" spans="1:13">
      <c r="A12" s="1">
        <f t="shared" si="1"/>
        <v>10</v>
      </c>
      <c r="B12" s="40" t="str">
        <f>май!B12</f>
        <v>Тек.рем.общ.имущ.дома</v>
      </c>
      <c r="C12" s="8">
        <f>7981.75+2009.02</f>
        <v>9990.77</v>
      </c>
      <c r="D12" s="19">
        <f>C12+май!D12</f>
        <v>47944.83</v>
      </c>
      <c r="E12" s="9">
        <f>1645.71+8488.5</f>
        <v>10134.209999999999</v>
      </c>
      <c r="F12" s="19">
        <f>E12+май!F12</f>
        <v>58339.729999999996</v>
      </c>
      <c r="G12" s="19">
        <f t="shared" si="0"/>
        <v>143.43999999999869</v>
      </c>
      <c r="H12" s="20">
        <f t="shared" si="0"/>
        <v>10394.899999999994</v>
      </c>
      <c r="I12" s="9"/>
      <c r="J12" s="20">
        <f>I12+май!J12</f>
        <v>0</v>
      </c>
      <c r="K12" s="8"/>
      <c r="L12" s="19">
        <f>K12+май!L12</f>
        <v>0</v>
      </c>
    </row>
    <row r="13" spans="1:13" ht="15" customHeight="1">
      <c r="A13" s="1">
        <f t="shared" si="1"/>
        <v>11</v>
      </c>
      <c r="B13" s="40" t="str">
        <f>май!B13</f>
        <v>Сод.и тек.рем.в/дом.газосн</v>
      </c>
      <c r="C13" s="8">
        <f>873.66+213.04</f>
        <v>1086.7</v>
      </c>
      <c r="D13" s="19">
        <f>C13+май!D13</f>
        <v>5220.4799999999996</v>
      </c>
      <c r="E13" s="9">
        <f>182.89+923.27</f>
        <v>1106.1599999999999</v>
      </c>
      <c r="F13" s="19">
        <f>E13+май!F13</f>
        <v>6210.64</v>
      </c>
      <c r="G13" s="19">
        <f t="shared" si="0"/>
        <v>19.459999999999809</v>
      </c>
      <c r="H13" s="20">
        <f t="shared" si="0"/>
        <v>990.16000000000076</v>
      </c>
      <c r="I13" s="9"/>
      <c r="J13" s="20">
        <f>I13+май!J13</f>
        <v>0</v>
      </c>
      <c r="K13" s="8"/>
      <c r="L13" s="19">
        <f>K13+май!L13</f>
        <v>0</v>
      </c>
    </row>
    <row r="14" spans="1:13" ht="16.5" customHeight="1">
      <c r="A14" s="1">
        <f t="shared" si="1"/>
        <v>12</v>
      </c>
      <c r="B14" s="40" t="str">
        <f>май!B14</f>
        <v>Управление многокв.домом</v>
      </c>
      <c r="C14" s="8">
        <f>3129.85+787.79</f>
        <v>3917.64</v>
      </c>
      <c r="D14" s="19">
        <f>C14+май!D14</f>
        <v>18800.41</v>
      </c>
      <c r="E14" s="9">
        <f>604.07+3290.13</f>
        <v>3894.2000000000003</v>
      </c>
      <c r="F14" s="19">
        <f>E14+май!F14</f>
        <v>22007.89</v>
      </c>
      <c r="G14" s="19">
        <f t="shared" si="0"/>
        <v>-23.4399999999996</v>
      </c>
      <c r="H14" s="20">
        <f t="shared" si="0"/>
        <v>3207.4799999999996</v>
      </c>
      <c r="I14" s="9"/>
      <c r="J14" s="20">
        <f>I14+май!J14</f>
        <v>0</v>
      </c>
      <c r="K14" s="8"/>
      <c r="L14" s="19">
        <f>K14+май!L14</f>
        <v>0</v>
      </c>
    </row>
    <row r="15" spans="1:13">
      <c r="A15" s="1">
        <f t="shared" si="1"/>
        <v>13</v>
      </c>
      <c r="B15" s="40" t="str">
        <f>май!B15</f>
        <v>Водоотведение(кв)</v>
      </c>
      <c r="C15" s="8">
        <f>2516.02+7316.99</f>
        <v>9833.01</v>
      </c>
      <c r="D15" s="19">
        <f>C15+май!D15</f>
        <v>52354.35</v>
      </c>
      <c r="E15" s="9">
        <f>9923.38+2388.35</f>
        <v>12311.73</v>
      </c>
      <c r="F15" s="19">
        <f>E15+май!F15</f>
        <v>59793.33</v>
      </c>
      <c r="G15" s="19">
        <f t="shared" si="0"/>
        <v>2478.7199999999993</v>
      </c>
      <c r="H15" s="20">
        <f t="shared" si="0"/>
        <v>7438.9800000000032</v>
      </c>
      <c r="I15" s="9"/>
      <c r="J15" s="20">
        <f>I15+май!J15</f>
        <v>0</v>
      </c>
      <c r="K15" s="8"/>
      <c r="L15" s="19">
        <f>K15+май!L15</f>
        <v>0</v>
      </c>
    </row>
    <row r="16" spans="1:13">
      <c r="A16" s="1">
        <f t="shared" si="1"/>
        <v>14</v>
      </c>
      <c r="B16" s="40" t="str">
        <f>май!B16</f>
        <v>Эксплуатация общед.ПУ</v>
      </c>
      <c r="C16" s="8">
        <f>213.28+847.34</f>
        <v>1060.6200000000001</v>
      </c>
      <c r="D16" s="19">
        <f>C16+май!D16</f>
        <v>5089.84</v>
      </c>
      <c r="E16" s="9">
        <f>895.68+188.44</f>
        <v>1084.1199999999999</v>
      </c>
      <c r="F16" s="19">
        <f>E16+май!F16</f>
        <v>6113.04</v>
      </c>
      <c r="G16" s="19">
        <f t="shared" si="0"/>
        <v>23.499999999999773</v>
      </c>
      <c r="H16" s="20">
        <f t="shared" si="0"/>
        <v>1023.1999999999998</v>
      </c>
      <c r="I16" s="9"/>
      <c r="J16" s="20">
        <f>I16+май!J16</f>
        <v>0</v>
      </c>
      <c r="K16" s="8"/>
      <c r="L16" s="19">
        <f>K16+май!L16</f>
        <v>0</v>
      </c>
    </row>
    <row r="17" spans="1:12" ht="16.5" customHeight="1">
      <c r="A17" s="1">
        <f t="shared" si="1"/>
        <v>15</v>
      </c>
      <c r="B17" s="40" t="str">
        <f>май!B17</f>
        <v>Хол. водоснаб(о/д нужды)</v>
      </c>
      <c r="C17" s="8">
        <f>94.11+373.41</f>
        <v>467.52000000000004</v>
      </c>
      <c r="D17" s="19">
        <f>C17+май!D17</f>
        <v>1627.0700000000002</v>
      </c>
      <c r="E17" s="9">
        <f>339.21+57.61</f>
        <v>396.82</v>
      </c>
      <c r="F17" s="19">
        <f>E17+май!F17</f>
        <v>3083.1400000000003</v>
      </c>
      <c r="G17" s="19">
        <f t="shared" si="0"/>
        <v>-70.700000000000045</v>
      </c>
      <c r="H17" s="20">
        <f t="shared" si="0"/>
        <v>1456.0700000000002</v>
      </c>
      <c r="I17" s="9"/>
      <c r="J17" s="20">
        <f>I17+май!J17</f>
        <v>0</v>
      </c>
      <c r="K17" s="8"/>
      <c r="L17" s="19">
        <f>K17+май!L17</f>
        <v>0</v>
      </c>
    </row>
    <row r="18" spans="1:12" ht="15.75" customHeight="1">
      <c r="A18" s="1">
        <f t="shared" si="1"/>
        <v>16</v>
      </c>
      <c r="B18" s="40" t="str">
        <f>май!B18</f>
        <v>Водоотведение(о/д нужды)</v>
      </c>
      <c r="C18" s="8">
        <f>0+0</f>
        <v>0</v>
      </c>
      <c r="D18" s="19">
        <f>C18+май!D18</f>
        <v>0</v>
      </c>
      <c r="E18" s="9">
        <f>0+0</f>
        <v>0</v>
      </c>
      <c r="F18" s="19">
        <f>E18+май!F18</f>
        <v>0</v>
      </c>
      <c r="G18" s="19">
        <f t="shared" si="0"/>
        <v>0</v>
      </c>
      <c r="H18" s="20">
        <f t="shared" si="0"/>
        <v>0</v>
      </c>
      <c r="I18" s="9"/>
      <c r="J18" s="20">
        <f>I18+май!J18</f>
        <v>0</v>
      </c>
      <c r="K18" s="8"/>
      <c r="L18" s="19">
        <f>K18+май!L18</f>
        <v>0</v>
      </c>
    </row>
    <row r="19" spans="1:12">
      <c r="A19" s="1">
        <f t="shared" si="1"/>
        <v>17</v>
      </c>
      <c r="B19" s="40" t="str">
        <f>май!B19</f>
        <v>Отопление(о/д нужды)</v>
      </c>
      <c r="C19" s="8">
        <f>0+0</f>
        <v>0</v>
      </c>
      <c r="D19" s="19">
        <f>C19+май!D19</f>
        <v>0</v>
      </c>
      <c r="E19" s="9">
        <f>0+0</f>
        <v>0</v>
      </c>
      <c r="F19" s="19">
        <f>E19+май!F19</f>
        <v>0</v>
      </c>
      <c r="G19" s="19">
        <f t="shared" si="0"/>
        <v>0</v>
      </c>
      <c r="H19" s="20">
        <f t="shared" si="0"/>
        <v>0</v>
      </c>
      <c r="I19" s="9"/>
      <c r="J19" s="20">
        <f>I19+май!J19</f>
        <v>0</v>
      </c>
      <c r="K19" s="9"/>
      <c r="L19" s="19">
        <f>K19+май!L19</f>
        <v>0</v>
      </c>
    </row>
    <row r="20" spans="1:12" ht="14.25" customHeight="1">
      <c r="A20" s="1">
        <f t="shared" si="1"/>
        <v>18</v>
      </c>
      <c r="B20" s="40" t="str">
        <f>май!B20</f>
        <v>Электроснабжение(общед.нужды)</v>
      </c>
      <c r="C20" s="8">
        <f>2178.81+821.65</f>
        <v>3000.46</v>
      </c>
      <c r="D20" s="19">
        <f>C20+май!D20</f>
        <v>23552.129999999997</v>
      </c>
      <c r="E20" s="9">
        <f>1487.61+4440.13</f>
        <v>5927.74</v>
      </c>
      <c r="F20" s="19">
        <f>E20+май!F20</f>
        <v>42841.909999999996</v>
      </c>
      <c r="G20" s="19">
        <f t="shared" si="0"/>
        <v>2927.2799999999997</v>
      </c>
      <c r="H20" s="20">
        <f t="shared" si="0"/>
        <v>19289.78</v>
      </c>
      <c r="I20" s="9"/>
      <c r="J20" s="20">
        <f>I20+май!J20</f>
        <v>0</v>
      </c>
      <c r="K20" s="9"/>
      <c r="L20" s="19">
        <f>K20+май!L20</f>
        <v>0</v>
      </c>
    </row>
    <row r="21" spans="1:12">
      <c r="A21" s="1">
        <f t="shared" si="1"/>
        <v>19</v>
      </c>
      <c r="B21" s="40" t="str">
        <f>май!B21</f>
        <v>Капитальный ремонт</v>
      </c>
      <c r="C21" s="8">
        <f>0+0</f>
        <v>0</v>
      </c>
      <c r="D21" s="19">
        <f>C21+май!D21</f>
        <v>0</v>
      </c>
      <c r="E21" s="9">
        <f>0+0</f>
        <v>0</v>
      </c>
      <c r="F21" s="19">
        <f>E21+май!F21</f>
        <v>0</v>
      </c>
      <c r="G21" s="19">
        <f t="shared" si="0"/>
        <v>0</v>
      </c>
      <c r="H21" s="20">
        <f t="shared" si="0"/>
        <v>0</v>
      </c>
      <c r="I21" s="9"/>
      <c r="J21" s="20">
        <f>I21+май!J21</f>
        <v>0</v>
      </c>
      <c r="K21" s="8"/>
      <c r="L21" s="19">
        <f>K21+май!L21</f>
        <v>0</v>
      </c>
    </row>
    <row r="22" spans="1:12" ht="15.75" customHeight="1">
      <c r="A22" s="1">
        <f t="shared" si="1"/>
        <v>20</v>
      </c>
      <c r="B22" s="40" t="str">
        <f>май!B22</f>
        <v>Гор. Водоснабж. (о/д нужды)</v>
      </c>
      <c r="C22" s="8">
        <f>886.55+221.9</f>
        <v>1108.45</v>
      </c>
      <c r="D22" s="19">
        <f>C22+май!D22</f>
        <v>3822.45</v>
      </c>
      <c r="E22" s="9">
        <f>147.58+805.2</f>
        <v>952.78000000000009</v>
      </c>
      <c r="F22" s="19">
        <f>E22+май!F22</f>
        <v>11389.210000000001</v>
      </c>
      <c r="G22" s="19">
        <f t="shared" si="0"/>
        <v>-155.66999999999996</v>
      </c>
      <c r="H22" s="20">
        <f t="shared" si="0"/>
        <v>7566.7600000000011</v>
      </c>
      <c r="I22" s="9"/>
      <c r="J22" s="20">
        <f>I22+май!J22</f>
        <v>0</v>
      </c>
      <c r="K22" s="8"/>
      <c r="L22" s="19">
        <f>K22+май!L22</f>
        <v>0</v>
      </c>
    </row>
    <row r="23" spans="1:12">
      <c r="A23" s="17"/>
      <c r="B23" s="18" t="s">
        <v>12</v>
      </c>
      <c r="C23" s="31">
        <f t="shared" ref="C23:L23" si="2">SUM(C3:C22)</f>
        <v>97199.959999999992</v>
      </c>
      <c r="D23" s="19">
        <f t="shared" si="2"/>
        <v>714699.97999999975</v>
      </c>
      <c r="E23" s="32">
        <f t="shared" si="2"/>
        <v>147477.41</v>
      </c>
      <c r="F23" s="19">
        <f t="shared" si="2"/>
        <v>1313664.7599999995</v>
      </c>
      <c r="G23" s="19">
        <f t="shared" si="2"/>
        <v>50277.44999999999</v>
      </c>
      <c r="H23" s="20">
        <f t="shared" si="2"/>
        <v>598964.77999999991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5" spans="1:12">
      <c r="B25" s="41" t="s">
        <v>35</v>
      </c>
      <c r="C25" s="9">
        <f t="shared" ref="C25:H25" si="3">C3+C7+C12+C13+C14+C16</f>
        <v>37611.240000000005</v>
      </c>
      <c r="D25" s="9">
        <f t="shared" si="3"/>
        <v>180498.57000000004</v>
      </c>
      <c r="E25" s="9">
        <f t="shared" si="3"/>
        <v>37917.82</v>
      </c>
      <c r="F25" s="9">
        <f t="shared" si="3"/>
        <v>214912.42</v>
      </c>
      <c r="G25" s="9">
        <f t="shared" si="3"/>
        <v>306.57999999999856</v>
      </c>
      <c r="H25" s="9">
        <f t="shared" si="3"/>
        <v>34413.849999999991</v>
      </c>
    </row>
    <row r="26" spans="1:12">
      <c r="B26" s="1" t="s">
        <v>37</v>
      </c>
      <c r="C26" s="9">
        <f>C9+C10+C11+C15+C17+C18</f>
        <v>16131.43</v>
      </c>
      <c r="D26" s="9">
        <f t="shared" ref="D26:J26" si="4">D9+D10+D11+D15+D17+D18</f>
        <v>84387.560000000012</v>
      </c>
      <c r="E26" s="9">
        <f t="shared" si="4"/>
        <v>20072.28</v>
      </c>
      <c r="F26" s="9">
        <f t="shared" si="4"/>
        <v>96609.46</v>
      </c>
      <c r="G26" s="9">
        <f t="shared" si="4"/>
        <v>3940.8499999999995</v>
      </c>
      <c r="H26" s="9">
        <f t="shared" si="4"/>
        <v>12221.899999999998</v>
      </c>
      <c r="I26" s="9">
        <f t="shared" si="4"/>
        <v>0</v>
      </c>
      <c r="J26" s="9">
        <f t="shared" si="4"/>
        <v>0</v>
      </c>
    </row>
    <row r="27" spans="1:12">
      <c r="B27" s="1" t="s">
        <v>38</v>
      </c>
      <c r="C27" s="9">
        <f>C8+C20</f>
        <v>27038.46</v>
      </c>
      <c r="D27" s="9">
        <f t="shared" ref="D27:J27" si="5">D8+D20</f>
        <v>138478.07</v>
      </c>
      <c r="E27" s="9">
        <f t="shared" si="5"/>
        <v>29154.5</v>
      </c>
      <c r="F27" s="9">
        <f t="shared" si="5"/>
        <v>175858.69</v>
      </c>
      <c r="G27" s="9">
        <f t="shared" si="5"/>
        <v>2116.0400000000018</v>
      </c>
      <c r="H27" s="9">
        <f t="shared" si="5"/>
        <v>37380.619999999995</v>
      </c>
      <c r="I27" s="9">
        <f t="shared" si="5"/>
        <v>0</v>
      </c>
      <c r="J27" s="9">
        <f t="shared" si="5"/>
        <v>0</v>
      </c>
    </row>
    <row r="28" spans="1:12">
      <c r="B28" s="1" t="s">
        <v>39</v>
      </c>
      <c r="C28" s="9">
        <f>C4+C5+C19+C22</f>
        <v>16418.830000000002</v>
      </c>
      <c r="D28" s="9">
        <f t="shared" ref="D28:J28" si="6">D4+D5+D19+D22</f>
        <v>311335.77999999997</v>
      </c>
      <c r="E28" s="9">
        <f t="shared" si="6"/>
        <v>60332.81</v>
      </c>
      <c r="F28" s="9">
        <f t="shared" si="6"/>
        <v>826284.19</v>
      </c>
      <c r="G28" s="9">
        <f t="shared" si="6"/>
        <v>43913.979999999996</v>
      </c>
      <c r="H28" s="9">
        <f t="shared" si="6"/>
        <v>514948.41</v>
      </c>
      <c r="I28" s="9">
        <f t="shared" si="6"/>
        <v>0</v>
      </c>
      <c r="J28" s="9">
        <f t="shared" si="6"/>
        <v>0</v>
      </c>
    </row>
    <row r="34" spans="8:9">
      <c r="H34">
        <v>74762.559999999998</v>
      </c>
      <c r="I34">
        <v>121235.01</v>
      </c>
    </row>
    <row r="35" spans="8:9">
      <c r="H35">
        <v>22437.4</v>
      </c>
      <c r="I35">
        <v>26242.400000000001</v>
      </c>
    </row>
    <row r="36" spans="8:9">
      <c r="H36" s="11">
        <f>H34+H35</f>
        <v>97199.959999999992</v>
      </c>
      <c r="I36" s="11">
        <f>I34+I35</f>
        <v>147477.41</v>
      </c>
    </row>
  </sheetData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G37" sqref="G37"/>
    </sheetView>
  </sheetViews>
  <sheetFormatPr defaultRowHeight="12.75"/>
  <cols>
    <col min="1" max="1" width="3.5703125" customWidth="1"/>
    <col min="2" max="2" width="30.5703125" customWidth="1"/>
    <col min="3" max="3" width="11" customWidth="1"/>
    <col min="4" max="4" width="13.85546875" customWidth="1"/>
    <col min="5" max="5" width="11.28515625" customWidth="1"/>
    <col min="6" max="6" width="11.140625" customWidth="1"/>
    <col min="7" max="7" width="9.7109375" bestFit="1" customWidth="1"/>
    <col min="8" max="8" width="12.5703125" customWidth="1"/>
    <col min="9" max="9" width="9.28515625" bestFit="1" customWidth="1"/>
    <col min="10" max="10" width="11.28515625" customWidth="1"/>
    <col min="11" max="12" width="10.42578125" customWidth="1"/>
    <col min="13" max="13" width="9.7109375" bestFit="1" customWidth="1"/>
  </cols>
  <sheetData>
    <row r="1" spans="1:13">
      <c r="E1" s="67" t="s">
        <v>19</v>
      </c>
      <c r="F1" s="68"/>
    </row>
    <row r="2" spans="1:13" s="30" customFormat="1" ht="38.2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>
      <c r="A3" s="1">
        <v>1</v>
      </c>
      <c r="B3" s="40" t="str">
        <f>июнь!B3</f>
        <v>Содержание общ.имущ.дома</v>
      </c>
      <c r="C3" s="8">
        <f>16264.19+4093.72</f>
        <v>20357.91</v>
      </c>
      <c r="D3" s="19">
        <f>C3+июнь!D3</f>
        <v>111322.01000000001</v>
      </c>
      <c r="E3" s="9">
        <f>3963.86+15702.44</f>
        <v>19666.3</v>
      </c>
      <c r="F3" s="19">
        <f>E3+июнь!F3</f>
        <v>127065.90000000001</v>
      </c>
      <c r="G3" s="19">
        <f>E3-C3</f>
        <v>-691.61000000000058</v>
      </c>
      <c r="H3" s="20">
        <f>F3-D3</f>
        <v>15743.89</v>
      </c>
      <c r="I3" s="9"/>
      <c r="J3" s="20">
        <f>I3+июнь!J3</f>
        <v>0</v>
      </c>
      <c r="K3" s="8"/>
      <c r="L3" s="19">
        <f>K3+июнь!L3</f>
        <v>0</v>
      </c>
    </row>
    <row r="4" spans="1:13">
      <c r="A4" s="1">
        <f>A3+1</f>
        <v>2</v>
      </c>
      <c r="B4" s="40" t="str">
        <f>июнь!B4</f>
        <v>Отопление</v>
      </c>
      <c r="C4" s="8">
        <f>0+0</f>
        <v>0</v>
      </c>
      <c r="D4" s="19">
        <f>C4+июнь!D4</f>
        <v>223929.24</v>
      </c>
      <c r="E4" s="9">
        <f>0+2704.44+14169.95</f>
        <v>16874.39</v>
      </c>
      <c r="F4" s="19">
        <f>E4+июнь!F4</f>
        <v>735874.95</v>
      </c>
      <c r="G4" s="19">
        <f t="shared" ref="G4:H22" si="0">E4-C4</f>
        <v>16874.39</v>
      </c>
      <c r="H4" s="20">
        <f t="shared" si="0"/>
        <v>511945.70999999996</v>
      </c>
      <c r="I4" s="9"/>
      <c r="J4" s="20">
        <f>I4+июнь!J4</f>
        <v>0</v>
      </c>
      <c r="K4" s="8"/>
      <c r="L4" s="19">
        <f>K4+июнь!L4</f>
        <v>0</v>
      </c>
      <c r="M4" s="12">
        <f>L4-J4</f>
        <v>0</v>
      </c>
    </row>
    <row r="5" spans="1:13">
      <c r="A5" s="1">
        <f t="shared" ref="A5:A22" si="1">A4+1</f>
        <v>3</v>
      </c>
      <c r="B5" s="40" t="str">
        <f>июнь!B5</f>
        <v>Горячее водоснабжение</v>
      </c>
      <c r="C5" s="8">
        <f>3099.16+2013.37</f>
        <v>5112.53</v>
      </c>
      <c r="D5" s="19">
        <f>C5+июнь!D5</f>
        <v>88696.62</v>
      </c>
      <c r="E5" s="9">
        <f>19898.24+4513.84</f>
        <v>24412.080000000002</v>
      </c>
      <c r="F5" s="19">
        <f>E5+июнь!F5</f>
        <v>120306.5</v>
      </c>
      <c r="G5" s="19">
        <f t="shared" si="0"/>
        <v>19299.550000000003</v>
      </c>
      <c r="H5" s="20">
        <f t="shared" si="0"/>
        <v>31609.880000000005</v>
      </c>
      <c r="I5" s="9"/>
      <c r="J5" s="20">
        <f>I5+июнь!J5</f>
        <v>0</v>
      </c>
      <c r="K5" s="8"/>
      <c r="L5" s="19">
        <f>K5+июнь!L5</f>
        <v>0</v>
      </c>
    </row>
    <row r="6" spans="1:13">
      <c r="A6" s="1">
        <f t="shared" si="1"/>
        <v>4</v>
      </c>
      <c r="B6" s="40" t="str">
        <f>июнь!B6</f>
        <v>Газ</v>
      </c>
      <c r="C6" s="8">
        <f>0+0</f>
        <v>0</v>
      </c>
      <c r="D6" s="19">
        <f>C6+июнь!D6</f>
        <v>0</v>
      </c>
      <c r="E6" s="9">
        <f>0+0</f>
        <v>0</v>
      </c>
      <c r="F6" s="19">
        <f>E6+июнь!F6</f>
        <v>0</v>
      </c>
      <c r="G6" s="19">
        <f t="shared" si="0"/>
        <v>0</v>
      </c>
      <c r="H6" s="20">
        <f t="shared" si="0"/>
        <v>0</v>
      </c>
      <c r="I6" s="9"/>
      <c r="J6" s="20">
        <f>I6+июнь!J6</f>
        <v>0</v>
      </c>
      <c r="K6" s="8"/>
      <c r="L6" s="19">
        <f>K6+июнь!L6</f>
        <v>0</v>
      </c>
    </row>
    <row r="7" spans="1:13" ht="15" customHeight="1">
      <c r="A7" s="1">
        <f t="shared" si="1"/>
        <v>5</v>
      </c>
      <c r="B7" s="40" t="str">
        <f>июнь!B7</f>
        <v>Уборка и сан.очистка зем.уч.</v>
      </c>
      <c r="C7" s="8">
        <f>629.55+2501.15</f>
        <v>3130.7</v>
      </c>
      <c r="D7" s="19">
        <f>C7+июнь!D7</f>
        <v>15609.61</v>
      </c>
      <c r="E7" s="9">
        <f>573.24+2300.85</f>
        <v>2874.09</v>
      </c>
      <c r="F7" s="19">
        <f>E7+июнь!F7</f>
        <v>17715.61</v>
      </c>
      <c r="G7" s="19">
        <f t="shared" si="0"/>
        <v>-256.60999999999967</v>
      </c>
      <c r="H7" s="20">
        <f t="shared" si="0"/>
        <v>2106</v>
      </c>
      <c r="I7" s="9"/>
      <c r="J7" s="20">
        <f>I7+июнь!J7</f>
        <v>0</v>
      </c>
      <c r="K7" s="8"/>
      <c r="L7" s="19">
        <f>K7+июнь!L7</f>
        <v>0</v>
      </c>
    </row>
    <row r="8" spans="1:13" ht="12.75" customHeight="1">
      <c r="A8" s="1">
        <f t="shared" si="1"/>
        <v>6</v>
      </c>
      <c r="B8" s="40" t="str">
        <f>июнь!B8</f>
        <v>Электроснабжение(инд.потр)</v>
      </c>
      <c r="C8" s="8">
        <f>20567.4+5416.2</f>
        <v>25983.600000000002</v>
      </c>
      <c r="D8" s="19">
        <f>C8+июнь!D8</f>
        <v>140909.54</v>
      </c>
      <c r="E8" s="9">
        <f>4839.63+24586.62</f>
        <v>29426.25</v>
      </c>
      <c r="F8" s="19">
        <f>E8+июнь!F8</f>
        <v>162443.03</v>
      </c>
      <c r="G8" s="19">
        <f t="shared" si="0"/>
        <v>3442.6499999999978</v>
      </c>
      <c r="H8" s="20">
        <f t="shared" si="0"/>
        <v>21533.489999999991</v>
      </c>
      <c r="I8" s="9"/>
      <c r="J8" s="20">
        <f>I8+июнь!J8</f>
        <v>0</v>
      </c>
      <c r="K8" s="8"/>
      <c r="L8" s="19">
        <f>K8+июнь!L8</f>
        <v>0</v>
      </c>
    </row>
    <row r="9" spans="1:13">
      <c r="A9" s="1">
        <f t="shared" si="1"/>
        <v>7</v>
      </c>
      <c r="B9" s="40" t="str">
        <f>июнь!B9</f>
        <v>Холодная вода</v>
      </c>
      <c r="C9" s="8">
        <f>1933.22+1550.09</f>
        <v>3483.31</v>
      </c>
      <c r="D9" s="19">
        <f>C9+июнь!D9</f>
        <v>33889.450000000004</v>
      </c>
      <c r="E9" s="9">
        <f>1015.63+7396.37</f>
        <v>8412</v>
      </c>
      <c r="F9" s="19">
        <f>E9+июнь!F9</f>
        <v>42144.99</v>
      </c>
      <c r="G9" s="19">
        <f t="shared" si="0"/>
        <v>4928.6900000000005</v>
      </c>
      <c r="H9" s="20">
        <f t="shared" si="0"/>
        <v>8255.5399999999936</v>
      </c>
      <c r="I9" s="9"/>
      <c r="J9" s="20">
        <f>I9+июнь!J9</f>
        <v>0</v>
      </c>
      <c r="K9" s="8"/>
      <c r="L9" s="19">
        <f>K9+июнь!L9</f>
        <v>0</v>
      </c>
    </row>
    <row r="10" spans="1:13" ht="13.5" customHeight="1">
      <c r="A10" s="1">
        <f t="shared" si="1"/>
        <v>8</v>
      </c>
      <c r="B10" s="40" t="str">
        <f>июнь!B10</f>
        <v>Канализирование х.воды</v>
      </c>
      <c r="C10" s="8">
        <f>0+0</f>
        <v>0</v>
      </c>
      <c r="D10" s="19">
        <f>C10+июнь!D10</f>
        <v>0</v>
      </c>
      <c r="E10" s="9">
        <f>0+0</f>
        <v>0</v>
      </c>
      <c r="F10" s="19">
        <f>E10+июнь!F10</f>
        <v>0</v>
      </c>
      <c r="G10" s="19">
        <f t="shared" si="0"/>
        <v>0</v>
      </c>
      <c r="H10" s="20">
        <f t="shared" si="0"/>
        <v>0</v>
      </c>
      <c r="I10" s="9"/>
      <c r="J10" s="20">
        <f>I10+июнь!J10</f>
        <v>0</v>
      </c>
      <c r="K10" s="8"/>
      <c r="L10" s="19">
        <f>K10+июнь!L10</f>
        <v>0</v>
      </c>
    </row>
    <row r="11" spans="1:13" ht="13.5" customHeight="1">
      <c r="A11" s="1">
        <f t="shared" si="1"/>
        <v>9</v>
      </c>
      <c r="B11" s="40" t="str">
        <f>июнь!B11</f>
        <v>Канализирование г.воды</v>
      </c>
      <c r="C11" s="8">
        <f>0+0</f>
        <v>0</v>
      </c>
      <c r="D11" s="19">
        <f>C11+июнь!D11</f>
        <v>0</v>
      </c>
      <c r="E11" s="9">
        <f>0+0</f>
        <v>0</v>
      </c>
      <c r="F11" s="19">
        <f>E11+июнь!F11</f>
        <v>0</v>
      </c>
      <c r="G11" s="19">
        <f t="shared" si="0"/>
        <v>0</v>
      </c>
      <c r="H11" s="20">
        <f t="shared" si="0"/>
        <v>0</v>
      </c>
      <c r="I11" s="9"/>
      <c r="J11" s="20">
        <f>I11+июнь!J11</f>
        <v>0</v>
      </c>
      <c r="K11" s="8"/>
      <c r="L11" s="19">
        <f>K11+июнь!L11</f>
        <v>0</v>
      </c>
    </row>
    <row r="12" spans="1:13">
      <c r="A12" s="1">
        <f t="shared" si="1"/>
        <v>10</v>
      </c>
      <c r="B12" s="40" t="str">
        <f>июнь!B12</f>
        <v>Тек.рем.общ.имущ.дома</v>
      </c>
      <c r="C12" s="8">
        <f>8487.49+2136.29</f>
        <v>10623.779999999999</v>
      </c>
      <c r="D12" s="19">
        <f>C12+июнь!D12</f>
        <v>58568.61</v>
      </c>
      <c r="E12" s="9">
        <f>2091.18+8268.1</f>
        <v>10359.280000000001</v>
      </c>
      <c r="F12" s="19">
        <f>E12+июнь!F12</f>
        <v>68699.009999999995</v>
      </c>
      <c r="G12" s="19">
        <f t="shared" si="0"/>
        <v>-264.49999999999818</v>
      </c>
      <c r="H12" s="20">
        <f t="shared" si="0"/>
        <v>10130.399999999994</v>
      </c>
      <c r="I12" s="9"/>
      <c r="J12" s="20">
        <f>I12+июнь!J12</f>
        <v>0</v>
      </c>
      <c r="K12" s="8"/>
      <c r="L12" s="19">
        <f>K12+июнь!L12</f>
        <v>0</v>
      </c>
    </row>
    <row r="13" spans="1:13" ht="11.25" customHeight="1">
      <c r="A13" s="1">
        <f t="shared" si="1"/>
        <v>11</v>
      </c>
      <c r="B13" s="40" t="str">
        <f>июнь!B13</f>
        <v>Сод.и тек.рем.в/дом.газосн</v>
      </c>
      <c r="C13" s="8">
        <f>913.93+222.88</f>
        <v>1136.81</v>
      </c>
      <c r="D13" s="19">
        <f>C13+июнь!D13</f>
        <v>6357.2899999999991</v>
      </c>
      <c r="E13" s="9">
        <f>230.3+908.64</f>
        <v>1138.94</v>
      </c>
      <c r="F13" s="19">
        <f>E13+июнь!F13</f>
        <v>7349.58</v>
      </c>
      <c r="G13" s="19">
        <f t="shared" si="0"/>
        <v>2.1300000000001091</v>
      </c>
      <c r="H13" s="20">
        <f t="shared" si="0"/>
        <v>992.29000000000087</v>
      </c>
      <c r="I13" s="9"/>
      <c r="J13" s="20">
        <f>I13+июнь!J13</f>
        <v>0</v>
      </c>
      <c r="K13" s="8"/>
      <c r="L13" s="19">
        <f>K13+июнь!L13</f>
        <v>0</v>
      </c>
    </row>
    <row r="14" spans="1:13" ht="15" customHeight="1">
      <c r="A14" s="1">
        <f t="shared" si="1"/>
        <v>12</v>
      </c>
      <c r="B14" s="40" t="str">
        <f>июнь!B14</f>
        <v>Управление многокв.домом</v>
      </c>
      <c r="C14" s="8">
        <f>3512.54+884.11</f>
        <v>4396.6499999999996</v>
      </c>
      <c r="D14" s="19">
        <f>C14+июнь!D14</f>
        <v>23197.059999999998</v>
      </c>
      <c r="E14" s="9">
        <f>734.98+3329.09</f>
        <v>4064.07</v>
      </c>
      <c r="F14" s="19">
        <f>E14+июнь!F14</f>
        <v>26071.96</v>
      </c>
      <c r="G14" s="19">
        <f t="shared" si="0"/>
        <v>-332.57999999999947</v>
      </c>
      <c r="H14" s="20">
        <f t="shared" si="0"/>
        <v>2874.9000000000015</v>
      </c>
      <c r="I14" s="9"/>
      <c r="J14" s="20">
        <f>I14+июнь!J14</f>
        <v>0</v>
      </c>
      <c r="K14" s="8"/>
      <c r="L14" s="19">
        <f>K14+июнь!L14</f>
        <v>0</v>
      </c>
    </row>
    <row r="15" spans="1:13">
      <c r="A15" s="1">
        <f t="shared" si="1"/>
        <v>13</v>
      </c>
      <c r="B15" s="40" t="str">
        <f>июнь!B15</f>
        <v>Водоотведение(кв)</v>
      </c>
      <c r="C15" s="8">
        <f>2640.16+2411.34</f>
        <v>5051.5</v>
      </c>
      <c r="D15" s="19">
        <f>C15+июнь!D15</f>
        <v>57405.85</v>
      </c>
      <c r="E15" s="9">
        <f>2675.98+12600.94</f>
        <v>15276.92</v>
      </c>
      <c r="F15" s="19">
        <f>E15+июнь!F15</f>
        <v>75070.25</v>
      </c>
      <c r="G15" s="19">
        <f t="shared" si="0"/>
        <v>10225.42</v>
      </c>
      <c r="H15" s="20">
        <f t="shared" si="0"/>
        <v>17664.400000000001</v>
      </c>
      <c r="I15" s="9"/>
      <c r="J15" s="20">
        <f>I15+июнь!J15</f>
        <v>0</v>
      </c>
      <c r="K15" s="8"/>
      <c r="L15" s="19">
        <f>K15+июнь!L15</f>
        <v>0</v>
      </c>
    </row>
    <row r="16" spans="1:13">
      <c r="A16" s="1">
        <f t="shared" si="1"/>
        <v>14</v>
      </c>
      <c r="B16" s="40" t="str">
        <f>июнь!B16</f>
        <v>Эксплуатация общед.ПУ</v>
      </c>
      <c r="C16" s="8">
        <f>902.09+227.07</f>
        <v>1129.1600000000001</v>
      </c>
      <c r="D16" s="19">
        <f>C16+июнь!D16</f>
        <v>6219</v>
      </c>
      <c r="E16" s="9">
        <f>257.41+875.1</f>
        <v>1132.51</v>
      </c>
      <c r="F16" s="19">
        <f>E16+июнь!F16</f>
        <v>7245.55</v>
      </c>
      <c r="G16" s="19">
        <f t="shared" si="0"/>
        <v>3.3499999999999091</v>
      </c>
      <c r="H16" s="20">
        <f t="shared" si="0"/>
        <v>1026.5500000000002</v>
      </c>
      <c r="I16" s="9"/>
      <c r="J16" s="20">
        <f>I16+июнь!J16</f>
        <v>0</v>
      </c>
      <c r="K16" s="8"/>
      <c r="L16" s="19">
        <f>K16+июнь!L16</f>
        <v>0</v>
      </c>
    </row>
    <row r="17" spans="1:12" ht="15.75" customHeight="1">
      <c r="A17" s="1">
        <f t="shared" si="1"/>
        <v>15</v>
      </c>
      <c r="B17" s="40" t="str">
        <f>июнь!B17</f>
        <v>Хол. водоснаб(о/д нужды)</v>
      </c>
      <c r="C17" s="8">
        <f>411+103.58</f>
        <v>514.58000000000004</v>
      </c>
      <c r="D17" s="19">
        <f>C17+июнь!D17</f>
        <v>2141.65</v>
      </c>
      <c r="E17" s="9">
        <f>73.56+396.66</f>
        <v>470.22</v>
      </c>
      <c r="F17" s="19">
        <f>E17+июнь!F17</f>
        <v>3553.3600000000006</v>
      </c>
      <c r="G17" s="19">
        <f t="shared" si="0"/>
        <v>-44.360000000000014</v>
      </c>
      <c r="H17" s="20">
        <f t="shared" si="0"/>
        <v>1411.7100000000005</v>
      </c>
      <c r="I17" s="9"/>
      <c r="J17" s="20">
        <f>I17+июнь!J17</f>
        <v>0</v>
      </c>
      <c r="K17" s="8"/>
      <c r="L17" s="19">
        <f>K17+июнь!L17</f>
        <v>0</v>
      </c>
    </row>
    <row r="18" spans="1:12" ht="12" customHeight="1">
      <c r="A18" s="1">
        <f t="shared" si="1"/>
        <v>16</v>
      </c>
      <c r="B18" s="40" t="str">
        <f>июнь!B18</f>
        <v>Водоотведение(о/д нужды)</v>
      </c>
      <c r="C18" s="8">
        <f>0+0</f>
        <v>0</v>
      </c>
      <c r="D18" s="19">
        <f>C18+июнь!D18</f>
        <v>0</v>
      </c>
      <c r="E18" s="9">
        <f>0+0</f>
        <v>0</v>
      </c>
      <c r="F18" s="19">
        <f>E18+июнь!F18</f>
        <v>0</v>
      </c>
      <c r="G18" s="19">
        <f t="shared" si="0"/>
        <v>0</v>
      </c>
      <c r="H18" s="20">
        <f t="shared" si="0"/>
        <v>0</v>
      </c>
      <c r="I18" s="9"/>
      <c r="J18" s="20">
        <f>I18+июнь!J18</f>
        <v>0</v>
      </c>
      <c r="K18" s="8"/>
      <c r="L18" s="19">
        <f>K18+июнь!L18</f>
        <v>0</v>
      </c>
    </row>
    <row r="19" spans="1:12">
      <c r="A19" s="1">
        <f t="shared" si="1"/>
        <v>17</v>
      </c>
      <c r="B19" s="40" t="str">
        <f>июнь!B19</f>
        <v>Отопление(о/д нужды)</v>
      </c>
      <c r="C19" s="8">
        <f>0+0</f>
        <v>0</v>
      </c>
      <c r="D19" s="19">
        <f>C19+июнь!D19</f>
        <v>0</v>
      </c>
      <c r="E19" s="9">
        <f>0+0</f>
        <v>0</v>
      </c>
      <c r="F19" s="19">
        <f>E19+июнь!F19</f>
        <v>0</v>
      </c>
      <c r="G19" s="19">
        <f t="shared" si="0"/>
        <v>0</v>
      </c>
      <c r="H19" s="20">
        <f t="shared" si="0"/>
        <v>0</v>
      </c>
      <c r="I19" s="9"/>
      <c r="J19" s="20">
        <f>I19+июнь!J19</f>
        <v>0</v>
      </c>
      <c r="K19" s="9"/>
      <c r="L19" s="19">
        <f>K19+июнь!L19</f>
        <v>0</v>
      </c>
    </row>
    <row r="20" spans="1:12" ht="15" customHeight="1">
      <c r="A20" s="1">
        <f t="shared" si="1"/>
        <v>18</v>
      </c>
      <c r="B20" s="40" t="str">
        <f>июнь!B20</f>
        <v>Электроснабжение(общед.нужды)</v>
      </c>
      <c r="C20" s="8">
        <f>3339.47+1257.39</f>
        <v>4596.8599999999997</v>
      </c>
      <c r="D20" s="19">
        <f>C20+июнь!D20</f>
        <v>28148.989999999998</v>
      </c>
      <c r="E20" s="9">
        <f>1079.25+2871.3</f>
        <v>3950.55</v>
      </c>
      <c r="F20" s="19">
        <f>E20+июнь!F20</f>
        <v>46792.46</v>
      </c>
      <c r="G20" s="19">
        <f t="shared" si="0"/>
        <v>-646.30999999999949</v>
      </c>
      <c r="H20" s="20">
        <f t="shared" si="0"/>
        <v>18643.47</v>
      </c>
      <c r="I20" s="9"/>
      <c r="J20" s="20">
        <f>I20+июнь!J20</f>
        <v>0</v>
      </c>
      <c r="K20" s="9"/>
      <c r="L20" s="19">
        <f>K20+июнь!L20</f>
        <v>0</v>
      </c>
    </row>
    <row r="21" spans="1:12">
      <c r="A21" s="1">
        <f t="shared" si="1"/>
        <v>19</v>
      </c>
      <c r="B21" s="40" t="str">
        <f>июнь!B21</f>
        <v>Капитальный ремонт</v>
      </c>
      <c r="C21" s="8">
        <f>0+0</f>
        <v>0</v>
      </c>
      <c r="D21" s="19">
        <f>C21+июнь!D21</f>
        <v>0</v>
      </c>
      <c r="E21" s="9">
        <f>0+0</f>
        <v>0</v>
      </c>
      <c r="F21" s="19">
        <f>E21+июнь!F21</f>
        <v>0</v>
      </c>
      <c r="G21" s="19">
        <f t="shared" si="0"/>
        <v>0</v>
      </c>
      <c r="H21" s="20">
        <f t="shared" si="0"/>
        <v>0</v>
      </c>
      <c r="I21" s="9"/>
      <c r="J21" s="20">
        <f>I21+июнь!J21</f>
        <v>0</v>
      </c>
      <c r="K21" s="8"/>
      <c r="L21" s="19">
        <f>K21+июнь!L21</f>
        <v>0</v>
      </c>
    </row>
    <row r="22" spans="1:12" ht="12.75" customHeight="1">
      <c r="A22" s="1">
        <f t="shared" si="1"/>
        <v>20</v>
      </c>
      <c r="B22" s="40" t="str">
        <f>июнь!B22</f>
        <v>Гор. Водоснабж. (о/д нужды)</v>
      </c>
      <c r="C22" s="8">
        <f>917.67+229.66</f>
        <v>1147.33</v>
      </c>
      <c r="D22" s="19">
        <f>C22+июнь!D22</f>
        <v>4969.78</v>
      </c>
      <c r="E22" s="9">
        <f>187.16+930.69</f>
        <v>1117.8500000000001</v>
      </c>
      <c r="F22" s="19">
        <f>E22+июнь!F22</f>
        <v>12507.060000000001</v>
      </c>
      <c r="G22" s="19">
        <f t="shared" si="0"/>
        <v>-29.479999999999791</v>
      </c>
      <c r="H22" s="20">
        <f t="shared" si="0"/>
        <v>7537.2800000000016</v>
      </c>
      <c r="I22" s="9"/>
      <c r="J22" s="20">
        <f>I22+июнь!J22</f>
        <v>0</v>
      </c>
      <c r="K22" s="8"/>
      <c r="L22" s="19">
        <f>K22+июнь!L22</f>
        <v>0</v>
      </c>
    </row>
    <row r="23" spans="1:12">
      <c r="A23" s="1"/>
      <c r="B23" s="18" t="s">
        <v>12</v>
      </c>
      <c r="C23" s="19">
        <f t="shared" ref="C23:L23" si="2">SUM(C3:C22)</f>
        <v>86664.72</v>
      </c>
      <c r="D23" s="19">
        <f t="shared" si="2"/>
        <v>801364.7</v>
      </c>
      <c r="E23" s="20">
        <f t="shared" si="2"/>
        <v>139175.45000000001</v>
      </c>
      <c r="F23" s="19">
        <f t="shared" si="2"/>
        <v>1452840.2100000002</v>
      </c>
      <c r="G23" s="19">
        <f t="shared" si="2"/>
        <v>52510.729999999989</v>
      </c>
      <c r="H23" s="20">
        <f t="shared" si="2"/>
        <v>651475.51000000013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4" spans="1:12" ht="6" customHeight="1"/>
    <row r="25" spans="1:12" hidden="1"/>
    <row r="26" spans="1:12">
      <c r="B26" s="1" t="s">
        <v>37</v>
      </c>
      <c r="C26" s="9">
        <f>C9+C10+C11+C15+C17+C18</f>
        <v>9049.39</v>
      </c>
      <c r="D26" s="9">
        <f t="shared" ref="D26:J26" si="3">D9+D10+D11+D15+D17+D18</f>
        <v>93436.95</v>
      </c>
      <c r="E26" s="9">
        <f t="shared" si="3"/>
        <v>24159.14</v>
      </c>
      <c r="F26" s="9">
        <f t="shared" si="3"/>
        <v>120768.59999999999</v>
      </c>
      <c r="G26" s="9">
        <f t="shared" si="3"/>
        <v>15109.75</v>
      </c>
      <c r="H26" s="9">
        <f t="shared" si="3"/>
        <v>27331.649999999994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30580.460000000003</v>
      </c>
      <c r="D27" s="9">
        <f t="shared" ref="D27:J27" si="4">D8+D20</f>
        <v>169058.53</v>
      </c>
      <c r="E27" s="9">
        <f t="shared" si="4"/>
        <v>33376.800000000003</v>
      </c>
      <c r="F27" s="9">
        <f t="shared" si="4"/>
        <v>209235.49</v>
      </c>
      <c r="G27" s="9">
        <f t="shared" si="4"/>
        <v>2796.3399999999983</v>
      </c>
      <c r="H27" s="9">
        <f t="shared" si="4"/>
        <v>40176.959999999992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6259.86</v>
      </c>
      <c r="D28" s="9">
        <f t="shared" ref="D28:J28" si="5">D4+D5+D19+D22</f>
        <v>317595.64</v>
      </c>
      <c r="E28" s="9">
        <f t="shared" si="5"/>
        <v>42404.32</v>
      </c>
      <c r="F28" s="9">
        <f t="shared" si="5"/>
        <v>868688.51</v>
      </c>
      <c r="G28" s="9">
        <f t="shared" si="5"/>
        <v>36144.46</v>
      </c>
      <c r="H28" s="9">
        <f t="shared" si="5"/>
        <v>551092.87</v>
      </c>
      <c r="I28" s="9">
        <f t="shared" si="5"/>
        <v>0</v>
      </c>
      <c r="J28" s="9">
        <f t="shared" si="5"/>
        <v>0</v>
      </c>
    </row>
    <row r="33" spans="5:6">
      <c r="E33">
        <v>64403.68</v>
      </c>
      <c r="F33">
        <v>114234.97</v>
      </c>
    </row>
    <row r="34" spans="5:6">
      <c r="E34">
        <v>22261.040000000001</v>
      </c>
      <c r="F34">
        <v>24940.48</v>
      </c>
    </row>
    <row r="35" spans="5:6">
      <c r="E35" s="11">
        <f>E33+E34</f>
        <v>86664.72</v>
      </c>
      <c r="F35" s="11">
        <f>F33+F34</f>
        <v>139175.45000000001</v>
      </c>
    </row>
  </sheetData>
  <mergeCells count="1">
    <mergeCell ref="E1:F1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C18" sqref="C18:C19"/>
    </sheetView>
  </sheetViews>
  <sheetFormatPr defaultRowHeight="12.75"/>
  <cols>
    <col min="1" max="1" width="4.42578125" customWidth="1"/>
    <col min="2" max="2" width="31.140625" customWidth="1"/>
    <col min="3" max="4" width="12.42578125" customWidth="1"/>
    <col min="5" max="5" width="13.140625" customWidth="1"/>
    <col min="6" max="6" width="12.85546875" customWidth="1"/>
    <col min="7" max="7" width="9.7109375" bestFit="1" customWidth="1"/>
    <col min="8" max="8" width="12.42578125" customWidth="1"/>
    <col min="9" max="9" width="9.28515625" bestFit="1" customWidth="1"/>
    <col min="10" max="10" width="11.85546875" customWidth="1"/>
    <col min="11" max="11" width="9.28515625" bestFit="1" customWidth="1"/>
    <col min="12" max="12" width="12.5703125" customWidth="1"/>
  </cols>
  <sheetData>
    <row r="1" spans="1:13" s="44" customFormat="1">
      <c r="D1" s="44" t="s">
        <v>20</v>
      </c>
    </row>
    <row r="2" spans="1:13" s="51" customFormat="1" ht="25.5">
      <c r="A2" s="45" t="s">
        <v>0</v>
      </c>
      <c r="B2" s="46" t="s">
        <v>1</v>
      </c>
      <c r="C2" s="47" t="s">
        <v>2</v>
      </c>
      <c r="D2" s="48" t="s">
        <v>3</v>
      </c>
      <c r="E2" s="49" t="s">
        <v>4</v>
      </c>
      <c r="F2" s="48" t="s">
        <v>5</v>
      </c>
      <c r="G2" s="48" t="s">
        <v>6</v>
      </c>
      <c r="H2" s="50" t="s">
        <v>7</v>
      </c>
      <c r="I2" s="49" t="s">
        <v>8</v>
      </c>
      <c r="J2" s="50" t="s">
        <v>9</v>
      </c>
      <c r="K2" s="46" t="s">
        <v>10</v>
      </c>
      <c r="L2" s="48" t="s">
        <v>11</v>
      </c>
    </row>
    <row r="3" spans="1:13" s="44" customFormat="1">
      <c r="A3" s="52">
        <v>1</v>
      </c>
      <c r="B3" s="53" t="str">
        <f>июль!B3</f>
        <v>Содержание общ.имущ.дома</v>
      </c>
      <c r="C3" s="54">
        <f>4093.72+16264.19</f>
        <v>20357.91</v>
      </c>
      <c r="D3" s="55">
        <f>C3+июль!D3</f>
        <v>131679.92000000001</v>
      </c>
      <c r="E3" s="56">
        <f>14363.69+3449.63</f>
        <v>17813.32</v>
      </c>
      <c r="F3" s="55">
        <f>E3+июль!F3</f>
        <v>144879.22</v>
      </c>
      <c r="G3" s="55">
        <f>E3-C3</f>
        <v>-2544.59</v>
      </c>
      <c r="H3" s="57">
        <f>F3-D3</f>
        <v>13199.299999999988</v>
      </c>
      <c r="I3" s="56"/>
      <c r="J3" s="57">
        <f>I3+июль!J3</f>
        <v>0</v>
      </c>
      <c r="K3" s="54"/>
      <c r="L3" s="55">
        <f>K3+июль!L3</f>
        <v>0</v>
      </c>
    </row>
    <row r="4" spans="1:13" s="44" customFormat="1">
      <c r="A4" s="52">
        <f>A3+1</f>
        <v>2</v>
      </c>
      <c r="B4" s="53" t="str">
        <f>июль!B4</f>
        <v>Отопление</v>
      </c>
      <c r="C4" s="54">
        <f>0+0</f>
        <v>0</v>
      </c>
      <c r="D4" s="55">
        <f>C4+июль!D4</f>
        <v>223929.24</v>
      </c>
      <c r="E4" s="56">
        <f>56.71+1488.04</f>
        <v>1544.75</v>
      </c>
      <c r="F4" s="55">
        <f>E4+июль!F4</f>
        <v>737419.7</v>
      </c>
      <c r="G4" s="55">
        <f t="shared" ref="G4:H22" si="0">E4-C4</f>
        <v>1544.75</v>
      </c>
      <c r="H4" s="57">
        <f t="shared" si="0"/>
        <v>513490.45999999996</v>
      </c>
      <c r="I4" s="56"/>
      <c r="J4" s="57">
        <f>I4+июль!J4</f>
        <v>0</v>
      </c>
      <c r="K4" s="54"/>
      <c r="L4" s="55">
        <f>K4+июль!L4</f>
        <v>0</v>
      </c>
      <c r="M4" s="58">
        <f>L4-J4</f>
        <v>0</v>
      </c>
    </row>
    <row r="5" spans="1:13" s="44" customFormat="1" ht="13.5" customHeight="1">
      <c r="A5" s="52">
        <f t="shared" ref="A5:A22" si="1">A4+1</f>
        <v>3</v>
      </c>
      <c r="B5" s="53" t="str">
        <f>июль!B5</f>
        <v>Горячее водоснабжение</v>
      </c>
      <c r="C5" s="54">
        <f>15630.06+3121.32</f>
        <v>18751.38</v>
      </c>
      <c r="D5" s="55">
        <f>C5+июль!D5</f>
        <v>107448</v>
      </c>
      <c r="E5" s="56">
        <f>2459.05+10613.67</f>
        <v>13072.720000000001</v>
      </c>
      <c r="F5" s="55">
        <f>E5+июль!F5</f>
        <v>133379.22</v>
      </c>
      <c r="G5" s="55">
        <f t="shared" si="0"/>
        <v>-5678.66</v>
      </c>
      <c r="H5" s="57">
        <f t="shared" si="0"/>
        <v>25931.22</v>
      </c>
      <c r="I5" s="56"/>
      <c r="J5" s="57">
        <f>I5+июль!J5</f>
        <v>0</v>
      </c>
      <c r="K5" s="54"/>
      <c r="L5" s="55">
        <f>K5+июль!L5</f>
        <v>0</v>
      </c>
    </row>
    <row r="6" spans="1:13" s="44" customFormat="1">
      <c r="A6" s="52">
        <f t="shared" si="1"/>
        <v>4</v>
      </c>
      <c r="B6" s="53" t="str">
        <f>июль!B6</f>
        <v>Газ</v>
      </c>
      <c r="C6" s="54">
        <f>0+0</f>
        <v>0</v>
      </c>
      <c r="D6" s="55">
        <f>C6+июль!D6</f>
        <v>0</v>
      </c>
      <c r="E6" s="56">
        <f>0+0</f>
        <v>0</v>
      </c>
      <c r="F6" s="55">
        <f>E6+июль!F6</f>
        <v>0</v>
      </c>
      <c r="G6" s="55">
        <f t="shared" si="0"/>
        <v>0</v>
      </c>
      <c r="H6" s="57">
        <f t="shared" si="0"/>
        <v>0</v>
      </c>
      <c r="I6" s="56"/>
      <c r="J6" s="57">
        <f>I6+июль!J6</f>
        <v>0</v>
      </c>
      <c r="K6" s="54"/>
      <c r="L6" s="55">
        <f>K6+июль!L6</f>
        <v>0</v>
      </c>
    </row>
    <row r="7" spans="1:13" s="44" customFormat="1" ht="15" customHeight="1">
      <c r="A7" s="52">
        <f t="shared" si="1"/>
        <v>5</v>
      </c>
      <c r="B7" s="53" t="str">
        <f>июль!B7</f>
        <v>Уборка и сан.очистка зем.уч.</v>
      </c>
      <c r="C7" s="54">
        <f>2501.15+629.55</f>
        <v>3130.7</v>
      </c>
      <c r="D7" s="55">
        <f>C7+июль!D7</f>
        <v>18740.310000000001</v>
      </c>
      <c r="E7" s="56">
        <f>522.48+2183.21</f>
        <v>2705.69</v>
      </c>
      <c r="F7" s="55">
        <f>E7+июль!F7</f>
        <v>20421.3</v>
      </c>
      <c r="G7" s="55">
        <f t="shared" si="0"/>
        <v>-425.00999999999976</v>
      </c>
      <c r="H7" s="57">
        <f t="shared" si="0"/>
        <v>1680.989999999998</v>
      </c>
      <c r="I7" s="56"/>
      <c r="J7" s="57">
        <f>I7+июль!J7</f>
        <v>0</v>
      </c>
      <c r="K7" s="54"/>
      <c r="L7" s="55">
        <f>K7+июль!L7</f>
        <v>0</v>
      </c>
    </row>
    <row r="8" spans="1:13" s="44" customFormat="1" ht="15" customHeight="1">
      <c r="A8" s="52">
        <f t="shared" si="1"/>
        <v>6</v>
      </c>
      <c r="B8" s="53" t="str">
        <f>июль!B8</f>
        <v>Электроснабжение(инд.потр)</v>
      </c>
      <c r="C8" s="54">
        <f>20496.24+5416.2</f>
        <v>25912.440000000002</v>
      </c>
      <c r="D8" s="55">
        <f>C8+июль!D8</f>
        <v>166821.98000000001</v>
      </c>
      <c r="E8" s="56">
        <f>4332.06+16669.44</f>
        <v>21001.5</v>
      </c>
      <c r="F8" s="55">
        <f>E8+июль!F8</f>
        <v>183444.53</v>
      </c>
      <c r="G8" s="55">
        <f t="shared" si="0"/>
        <v>-4910.9400000000023</v>
      </c>
      <c r="H8" s="57">
        <f t="shared" si="0"/>
        <v>16622.549999999988</v>
      </c>
      <c r="I8" s="56"/>
      <c r="J8" s="57">
        <f>I8+июль!J8</f>
        <v>0</v>
      </c>
      <c r="K8" s="54"/>
      <c r="L8" s="55">
        <f>K8+июль!L8</f>
        <v>0</v>
      </c>
    </row>
    <row r="9" spans="1:13" s="44" customFormat="1">
      <c r="A9" s="52">
        <f t="shared" si="1"/>
        <v>7</v>
      </c>
      <c r="B9" s="53" t="str">
        <f>июль!B9</f>
        <v>Холодная вода</v>
      </c>
      <c r="C9" s="54">
        <f>4955.71+1574.43</f>
        <v>6530.14</v>
      </c>
      <c r="D9" s="55">
        <f>C9+июль!D9</f>
        <v>40419.590000000004</v>
      </c>
      <c r="E9" s="56">
        <f>1389.42+4961.32</f>
        <v>6350.74</v>
      </c>
      <c r="F9" s="55">
        <f>E9+июль!F9</f>
        <v>48495.729999999996</v>
      </c>
      <c r="G9" s="55">
        <f t="shared" si="0"/>
        <v>-179.40000000000055</v>
      </c>
      <c r="H9" s="57">
        <f t="shared" si="0"/>
        <v>8076.1399999999921</v>
      </c>
      <c r="I9" s="56"/>
      <c r="J9" s="57">
        <f>I9+июль!J9</f>
        <v>0</v>
      </c>
      <c r="K9" s="54"/>
      <c r="L9" s="55">
        <f>K9+июль!L9</f>
        <v>0</v>
      </c>
    </row>
    <row r="10" spans="1:13" s="44" customFormat="1" ht="12" customHeight="1">
      <c r="A10" s="52">
        <f t="shared" si="1"/>
        <v>8</v>
      </c>
      <c r="B10" s="53" t="str">
        <f>июль!B10</f>
        <v>Канализирование х.воды</v>
      </c>
      <c r="C10" s="54">
        <f>0+0</f>
        <v>0</v>
      </c>
      <c r="D10" s="55">
        <f>C10+июль!D10</f>
        <v>0</v>
      </c>
      <c r="E10" s="56">
        <f>0+0</f>
        <v>0</v>
      </c>
      <c r="F10" s="55">
        <f>E10+июль!F10</f>
        <v>0</v>
      </c>
      <c r="G10" s="55">
        <f t="shared" si="0"/>
        <v>0</v>
      </c>
      <c r="H10" s="57">
        <f t="shared" si="0"/>
        <v>0</v>
      </c>
      <c r="I10" s="56"/>
      <c r="J10" s="57">
        <f>I10+июль!J10</f>
        <v>0</v>
      </c>
      <c r="K10" s="54"/>
      <c r="L10" s="55">
        <f>K10+июль!L10</f>
        <v>0</v>
      </c>
    </row>
    <row r="11" spans="1:13" s="44" customFormat="1" ht="12" customHeight="1">
      <c r="A11" s="52">
        <f t="shared" si="1"/>
        <v>9</v>
      </c>
      <c r="B11" s="53" t="str">
        <f>июль!B11</f>
        <v>Канализирование г.воды</v>
      </c>
      <c r="C11" s="54">
        <f>0+0</f>
        <v>0</v>
      </c>
      <c r="D11" s="55">
        <f>C11+июль!D11</f>
        <v>0</v>
      </c>
      <c r="E11" s="56">
        <f>0+0</f>
        <v>0</v>
      </c>
      <c r="F11" s="55">
        <f>E11+июль!F11</f>
        <v>0</v>
      </c>
      <c r="G11" s="55">
        <f t="shared" si="0"/>
        <v>0</v>
      </c>
      <c r="H11" s="57">
        <f t="shared" si="0"/>
        <v>0</v>
      </c>
      <c r="I11" s="56"/>
      <c r="J11" s="57">
        <f>I11+июль!J11</f>
        <v>0</v>
      </c>
      <c r="K11" s="54"/>
      <c r="L11" s="55">
        <f>K11+июль!L11</f>
        <v>0</v>
      </c>
    </row>
    <row r="12" spans="1:13" s="44" customFormat="1" ht="15.75" customHeight="1">
      <c r="A12" s="52">
        <f t="shared" si="1"/>
        <v>10</v>
      </c>
      <c r="B12" s="53" t="str">
        <f>июль!B12</f>
        <v>Тек.рем.общ.имущ.дома</v>
      </c>
      <c r="C12" s="54">
        <f>8487.49+2136.29</f>
        <v>10623.779999999999</v>
      </c>
      <c r="D12" s="55">
        <f>C12+июль!D12</f>
        <v>69192.39</v>
      </c>
      <c r="E12" s="56">
        <f>1802.69+7536.57</f>
        <v>9339.26</v>
      </c>
      <c r="F12" s="55">
        <f>E12+июль!F12</f>
        <v>78038.26999999999</v>
      </c>
      <c r="G12" s="55">
        <f t="shared" si="0"/>
        <v>-1284.5199999999986</v>
      </c>
      <c r="H12" s="57">
        <f t="shared" si="0"/>
        <v>8845.8799999999901</v>
      </c>
      <c r="I12" s="56"/>
      <c r="J12" s="57">
        <f>I12+июль!J12</f>
        <v>0</v>
      </c>
      <c r="K12" s="54"/>
      <c r="L12" s="55">
        <f>K12+июль!L12</f>
        <v>0</v>
      </c>
    </row>
    <row r="13" spans="1:13" s="44" customFormat="1" ht="15.75" customHeight="1">
      <c r="A13" s="52">
        <f t="shared" si="1"/>
        <v>11</v>
      </c>
      <c r="B13" s="53" t="str">
        <f>июль!B13</f>
        <v>Сод.и тек.рем.в/дом.газосн</v>
      </c>
      <c r="C13" s="54">
        <f>913.93+222.88</f>
        <v>1136.81</v>
      </c>
      <c r="D13" s="55">
        <f>C13+июль!D13</f>
        <v>7494.0999999999985</v>
      </c>
      <c r="E13" s="56">
        <f>197.85+793.81</f>
        <v>991.66</v>
      </c>
      <c r="F13" s="55">
        <f>E13+июль!F13</f>
        <v>8341.24</v>
      </c>
      <c r="G13" s="55">
        <f t="shared" si="0"/>
        <v>-145.14999999999998</v>
      </c>
      <c r="H13" s="57">
        <f t="shared" si="0"/>
        <v>847.14000000000124</v>
      </c>
      <c r="I13" s="56"/>
      <c r="J13" s="57">
        <f>I13+июль!J13</f>
        <v>0</v>
      </c>
      <c r="K13" s="54"/>
      <c r="L13" s="55">
        <f>K13+июль!L13</f>
        <v>0</v>
      </c>
    </row>
    <row r="14" spans="1:13" s="44" customFormat="1" ht="15.75" customHeight="1">
      <c r="A14" s="52">
        <f t="shared" si="1"/>
        <v>12</v>
      </c>
      <c r="B14" s="53" t="str">
        <f>июль!B14</f>
        <v>Управление многокв.домом</v>
      </c>
      <c r="C14" s="54">
        <f>3512.54+884.11</f>
        <v>4396.6499999999996</v>
      </c>
      <c r="D14" s="55">
        <f>C14+июль!D14</f>
        <v>27593.71</v>
      </c>
      <c r="E14" s="56">
        <f>740.51+3089.22</f>
        <v>3829.7299999999996</v>
      </c>
      <c r="F14" s="55">
        <f>E14+июль!F14</f>
        <v>29901.69</v>
      </c>
      <c r="G14" s="55">
        <f t="shared" si="0"/>
        <v>-566.92000000000007</v>
      </c>
      <c r="H14" s="57">
        <f t="shared" si="0"/>
        <v>2307.9799999999996</v>
      </c>
      <c r="I14" s="56"/>
      <c r="J14" s="57">
        <f>I14+июль!J14</f>
        <v>0</v>
      </c>
      <c r="K14" s="54"/>
      <c r="L14" s="55">
        <f>K14+июль!L14</f>
        <v>0</v>
      </c>
    </row>
    <row r="15" spans="1:13" s="44" customFormat="1">
      <c r="A15" s="52">
        <f t="shared" si="1"/>
        <v>13</v>
      </c>
      <c r="B15" s="53" t="str">
        <f>июль!B15</f>
        <v>Водоотведение(кв)</v>
      </c>
      <c r="C15" s="54">
        <f>9297.56+2441.86</f>
        <v>11739.42</v>
      </c>
      <c r="D15" s="55">
        <f>C15+июль!D15</f>
        <v>69145.27</v>
      </c>
      <c r="E15" s="56">
        <f>2065.51+7873.83</f>
        <v>9939.34</v>
      </c>
      <c r="F15" s="55">
        <f>E15+июль!F15</f>
        <v>85009.59</v>
      </c>
      <c r="G15" s="55">
        <f t="shared" si="0"/>
        <v>-1800.08</v>
      </c>
      <c r="H15" s="57">
        <f t="shared" si="0"/>
        <v>15864.319999999992</v>
      </c>
      <c r="I15" s="56"/>
      <c r="J15" s="57">
        <f>I15+июль!J15</f>
        <v>0</v>
      </c>
      <c r="K15" s="54"/>
      <c r="L15" s="55">
        <f>K15+июль!L15</f>
        <v>0</v>
      </c>
    </row>
    <row r="16" spans="1:13" s="44" customFormat="1">
      <c r="A16" s="52">
        <f t="shared" si="1"/>
        <v>14</v>
      </c>
      <c r="B16" s="53" t="str">
        <f>июль!B16</f>
        <v>Эксплуатация общед.ПУ</v>
      </c>
      <c r="C16" s="54">
        <f>902.09+227.07</f>
        <v>1129.1600000000001</v>
      </c>
      <c r="D16" s="55">
        <f>C16+июль!D16</f>
        <v>7348.16</v>
      </c>
      <c r="E16" s="56">
        <f>191.57+798.14</f>
        <v>989.71</v>
      </c>
      <c r="F16" s="55">
        <f>E16+июль!F16</f>
        <v>8235.26</v>
      </c>
      <c r="G16" s="55">
        <f t="shared" si="0"/>
        <v>-139.45000000000005</v>
      </c>
      <c r="H16" s="57">
        <f t="shared" si="0"/>
        <v>887.10000000000036</v>
      </c>
      <c r="I16" s="56"/>
      <c r="J16" s="57">
        <f>I16+июль!J16</f>
        <v>0</v>
      </c>
      <c r="K16" s="54"/>
      <c r="L16" s="55">
        <f>K16+июль!L16</f>
        <v>0</v>
      </c>
    </row>
    <row r="17" spans="1:12" s="44" customFormat="1">
      <c r="A17" s="52">
        <f t="shared" si="1"/>
        <v>15</v>
      </c>
      <c r="B17" s="53" t="str">
        <f>июль!B17</f>
        <v>Хол. водоснаб(о/д нужды)</v>
      </c>
      <c r="C17" s="54">
        <f>411+103.58</f>
        <v>514.58000000000004</v>
      </c>
      <c r="D17" s="55">
        <f>C17+июль!D17</f>
        <v>2656.23</v>
      </c>
      <c r="E17" s="56">
        <f>86.82+371.31</f>
        <v>458.13</v>
      </c>
      <c r="F17" s="55">
        <f>E17+июль!F17</f>
        <v>4011.4900000000007</v>
      </c>
      <c r="G17" s="55">
        <f t="shared" si="0"/>
        <v>-56.450000000000045</v>
      </c>
      <c r="H17" s="57">
        <f t="shared" si="0"/>
        <v>1355.2600000000007</v>
      </c>
      <c r="I17" s="56"/>
      <c r="J17" s="57">
        <f>I17+июль!J17</f>
        <v>0</v>
      </c>
      <c r="K17" s="54"/>
      <c r="L17" s="55">
        <f>K17+июль!L17</f>
        <v>0</v>
      </c>
    </row>
    <row r="18" spans="1:12" s="44" customFormat="1" ht="14.25" customHeight="1">
      <c r="A18" s="52">
        <f t="shared" si="1"/>
        <v>16</v>
      </c>
      <c r="B18" s="53" t="str">
        <f>июль!B18</f>
        <v>Водоотведение(о/д нужды)</v>
      </c>
      <c r="C18" s="54">
        <f>0+0</f>
        <v>0</v>
      </c>
      <c r="D18" s="55">
        <f>C18+июль!D18</f>
        <v>0</v>
      </c>
      <c r="E18" s="56">
        <f>0+0</f>
        <v>0</v>
      </c>
      <c r="F18" s="55">
        <f>E18+июль!F18</f>
        <v>0</v>
      </c>
      <c r="G18" s="55">
        <f t="shared" si="0"/>
        <v>0</v>
      </c>
      <c r="H18" s="57">
        <f t="shared" si="0"/>
        <v>0</v>
      </c>
      <c r="I18" s="56"/>
      <c r="J18" s="57">
        <f>I18+июль!J18</f>
        <v>0</v>
      </c>
      <c r="K18" s="54"/>
      <c r="L18" s="55">
        <f>K18+июль!L18</f>
        <v>0</v>
      </c>
    </row>
    <row r="19" spans="1:12" s="44" customFormat="1">
      <c r="A19" s="52">
        <f t="shared" si="1"/>
        <v>17</v>
      </c>
      <c r="B19" s="53" t="str">
        <f>июль!B19</f>
        <v>Отопление(о/д нужды)</v>
      </c>
      <c r="C19" s="54">
        <f>0+0</f>
        <v>0</v>
      </c>
      <c r="D19" s="55">
        <f>C19+июль!D19</f>
        <v>0</v>
      </c>
      <c r="E19" s="56">
        <f>0+0</f>
        <v>0</v>
      </c>
      <c r="F19" s="55">
        <f>E19+июль!F19</f>
        <v>0</v>
      </c>
      <c r="G19" s="55">
        <f t="shared" si="0"/>
        <v>0</v>
      </c>
      <c r="H19" s="57">
        <f t="shared" si="0"/>
        <v>0</v>
      </c>
      <c r="I19" s="56"/>
      <c r="J19" s="57">
        <f>I19+июль!J19</f>
        <v>0</v>
      </c>
      <c r="K19" s="54"/>
      <c r="L19" s="55">
        <f>K19+июль!L19</f>
        <v>0</v>
      </c>
    </row>
    <row r="20" spans="1:12" s="44" customFormat="1" ht="13.5" customHeight="1">
      <c r="A20" s="52">
        <f t="shared" si="1"/>
        <v>18</v>
      </c>
      <c r="B20" s="53" t="str">
        <f>июль!B20</f>
        <v>Электроснабжение(общед.нужды)</v>
      </c>
      <c r="C20" s="54">
        <f>10776.08+1250.13</f>
        <v>12026.21</v>
      </c>
      <c r="D20" s="55">
        <f>C20+июль!D20</f>
        <v>40175.199999999997</v>
      </c>
      <c r="E20" s="56">
        <f>1030.71+3093.92</f>
        <v>4124.63</v>
      </c>
      <c r="F20" s="55">
        <f>E20+июль!F20</f>
        <v>50917.09</v>
      </c>
      <c r="G20" s="55">
        <f t="shared" si="0"/>
        <v>-7901.579999999999</v>
      </c>
      <c r="H20" s="57">
        <f t="shared" si="0"/>
        <v>10741.89</v>
      </c>
      <c r="I20" s="56"/>
      <c r="J20" s="57">
        <f>I20+июль!J20</f>
        <v>0</v>
      </c>
      <c r="K20" s="54"/>
      <c r="L20" s="55">
        <f>K20+июль!L20</f>
        <v>0</v>
      </c>
    </row>
    <row r="21" spans="1:12" s="44" customFormat="1">
      <c r="A21" s="52">
        <f t="shared" si="1"/>
        <v>19</v>
      </c>
      <c r="B21" s="53" t="str">
        <f>июль!B21</f>
        <v>Капитальный ремонт</v>
      </c>
      <c r="C21" s="54">
        <f>0+0</f>
        <v>0</v>
      </c>
      <c r="D21" s="55">
        <f>C21+июль!D21</f>
        <v>0</v>
      </c>
      <c r="E21" s="56">
        <f>0+0</f>
        <v>0</v>
      </c>
      <c r="F21" s="55">
        <f>E21+июль!F21</f>
        <v>0</v>
      </c>
      <c r="G21" s="55">
        <f t="shared" si="0"/>
        <v>0</v>
      </c>
      <c r="H21" s="57">
        <f t="shared" si="0"/>
        <v>0</v>
      </c>
      <c r="I21" s="56"/>
      <c r="J21" s="57">
        <f>I21+июль!J21</f>
        <v>0</v>
      </c>
      <c r="K21" s="54"/>
      <c r="L21" s="55">
        <f>K21+июль!L21</f>
        <v>0</v>
      </c>
    </row>
    <row r="22" spans="1:12" s="44" customFormat="1" ht="15.75" customHeight="1">
      <c r="A22" s="52">
        <f t="shared" si="1"/>
        <v>20</v>
      </c>
      <c r="B22" s="53" t="str">
        <f>июль!B22</f>
        <v>Гор. Водоснабж. (о/д нужды)</v>
      </c>
      <c r="C22" s="54">
        <f>917.67+229.66</f>
        <v>1147.33</v>
      </c>
      <c r="D22" s="55">
        <f>C22+июль!D22</f>
        <v>6117.11</v>
      </c>
      <c r="E22" s="56">
        <f>194.09+806.85</f>
        <v>1000.94</v>
      </c>
      <c r="F22" s="55">
        <f>E22+июль!F22</f>
        <v>13508.000000000002</v>
      </c>
      <c r="G22" s="55">
        <f t="shared" si="0"/>
        <v>-146.38999999999987</v>
      </c>
      <c r="H22" s="57">
        <f t="shared" si="0"/>
        <v>7390.8900000000021</v>
      </c>
      <c r="I22" s="56"/>
      <c r="J22" s="57">
        <f>I22+июль!J22</f>
        <v>0</v>
      </c>
      <c r="K22" s="54"/>
      <c r="L22" s="55">
        <f>K22+июль!L22</f>
        <v>0</v>
      </c>
    </row>
    <row r="23" spans="1:12" s="44" customFormat="1">
      <c r="A23" s="59"/>
      <c r="B23" s="60" t="s">
        <v>12</v>
      </c>
      <c r="C23" s="63">
        <f t="shared" ref="C23:L23" si="2">SUM(C3:C22)</f>
        <v>117396.51</v>
      </c>
      <c r="D23" s="55">
        <f t="shared" si="2"/>
        <v>918761.21</v>
      </c>
      <c r="E23" s="64">
        <f t="shared" si="2"/>
        <v>93162.12000000001</v>
      </c>
      <c r="F23" s="55">
        <f t="shared" si="2"/>
        <v>1546002.33</v>
      </c>
      <c r="G23" s="55">
        <f t="shared" si="2"/>
        <v>-24234.39</v>
      </c>
      <c r="H23" s="57">
        <f t="shared" si="2"/>
        <v>627241.12</v>
      </c>
      <c r="I23" s="57">
        <f t="shared" si="2"/>
        <v>0</v>
      </c>
      <c r="J23" s="57">
        <f t="shared" si="2"/>
        <v>0</v>
      </c>
      <c r="K23" s="55">
        <f t="shared" si="2"/>
        <v>0</v>
      </c>
      <c r="L23" s="55">
        <f t="shared" si="2"/>
        <v>0</v>
      </c>
    </row>
    <row r="24" spans="1:12" s="44" customFormat="1" ht="10.5" customHeight="1"/>
    <row r="25" spans="1:12" s="44" customFormat="1" hidden="1"/>
    <row r="26" spans="1:12" s="44" customFormat="1">
      <c r="B26" s="52" t="s">
        <v>37</v>
      </c>
      <c r="C26" s="56">
        <f>C9+C10+C11+C15+C17+C18</f>
        <v>18784.140000000003</v>
      </c>
      <c r="D26" s="56">
        <f t="shared" ref="D26:J26" si="3">D9+D10+D11+D15+D17+D18</f>
        <v>112221.09000000001</v>
      </c>
      <c r="E26" s="56">
        <f t="shared" si="3"/>
        <v>16748.21</v>
      </c>
      <c r="F26" s="56">
        <f t="shared" si="3"/>
        <v>137516.81</v>
      </c>
      <c r="G26" s="56">
        <f t="shared" si="3"/>
        <v>-2035.9300000000005</v>
      </c>
      <c r="H26" s="56">
        <f t="shared" si="3"/>
        <v>25295.719999999987</v>
      </c>
      <c r="I26" s="56">
        <f t="shared" si="3"/>
        <v>0</v>
      </c>
      <c r="J26" s="56">
        <f t="shared" si="3"/>
        <v>0</v>
      </c>
    </row>
    <row r="27" spans="1:12" s="44" customFormat="1">
      <c r="B27" s="52" t="s">
        <v>38</v>
      </c>
      <c r="C27" s="56">
        <f>C8+C20</f>
        <v>37938.65</v>
      </c>
      <c r="D27" s="56">
        <f t="shared" ref="D27:J27" si="4">D8+D20</f>
        <v>206997.18</v>
      </c>
      <c r="E27" s="56">
        <f t="shared" si="4"/>
        <v>25126.13</v>
      </c>
      <c r="F27" s="56">
        <f t="shared" si="4"/>
        <v>234361.62</v>
      </c>
      <c r="G27" s="56">
        <f t="shared" si="4"/>
        <v>-12812.52</v>
      </c>
      <c r="H27" s="56">
        <f t="shared" si="4"/>
        <v>27364.439999999988</v>
      </c>
      <c r="I27" s="56">
        <f t="shared" si="4"/>
        <v>0</v>
      </c>
      <c r="J27" s="56">
        <f t="shared" si="4"/>
        <v>0</v>
      </c>
    </row>
    <row r="28" spans="1:12" s="44" customFormat="1">
      <c r="B28" s="52" t="s">
        <v>39</v>
      </c>
      <c r="C28" s="56">
        <f>C4+C5+C19+C22</f>
        <v>19898.71</v>
      </c>
      <c r="D28" s="56">
        <f t="shared" ref="D28:J28" si="5">D4+D5+D19+D22</f>
        <v>337494.35</v>
      </c>
      <c r="E28" s="56">
        <f t="shared" si="5"/>
        <v>15618.410000000002</v>
      </c>
      <c r="F28" s="56">
        <f t="shared" si="5"/>
        <v>884306.91999999993</v>
      </c>
      <c r="G28" s="56">
        <f t="shared" si="5"/>
        <v>-4280.2999999999993</v>
      </c>
      <c r="H28" s="56">
        <f t="shared" si="5"/>
        <v>546812.56999999995</v>
      </c>
      <c r="I28" s="56">
        <f t="shared" si="5"/>
        <v>0</v>
      </c>
      <c r="J28" s="56">
        <f t="shared" si="5"/>
        <v>0</v>
      </c>
    </row>
    <row r="29" spans="1:12" s="44" customFormat="1"/>
    <row r="30" spans="1:12" s="44" customFormat="1"/>
    <row r="31" spans="1:12" s="44" customFormat="1"/>
    <row r="32" spans="1:12" s="44" customFormat="1">
      <c r="G32" s="44">
        <v>95065.71</v>
      </c>
      <c r="H32" s="44">
        <v>74643.02</v>
      </c>
    </row>
    <row r="33" spans="7:8" s="44" customFormat="1">
      <c r="G33" s="44">
        <v>22330.799999999999</v>
      </c>
      <c r="H33" s="44">
        <v>18519.099999999999</v>
      </c>
    </row>
    <row r="34" spans="7:8">
      <c r="G34" s="11">
        <f>G32+G33</f>
        <v>117396.51000000001</v>
      </c>
      <c r="H34" s="11">
        <f>H32+H33</f>
        <v>93162.12</v>
      </c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C10" sqref="C10:C11"/>
    </sheetView>
  </sheetViews>
  <sheetFormatPr defaultRowHeight="12.75"/>
  <cols>
    <col min="1" max="1" width="4.140625" customWidth="1"/>
    <col min="2" max="2" width="30.7109375" customWidth="1"/>
    <col min="3" max="3" width="11.140625" customWidth="1"/>
    <col min="4" max="4" width="13.85546875" customWidth="1"/>
    <col min="5" max="5" width="11" customWidth="1"/>
    <col min="6" max="6" width="13.42578125" customWidth="1"/>
    <col min="7" max="7" width="9.7109375" bestFit="1" customWidth="1"/>
    <col min="8" max="8" width="14" customWidth="1"/>
    <col min="9" max="9" width="9.28515625" bestFit="1" customWidth="1"/>
    <col min="10" max="10" width="12" customWidth="1"/>
    <col min="11" max="11" width="11" customWidth="1"/>
    <col min="12" max="12" width="10.28515625" customWidth="1"/>
    <col min="13" max="13" width="10.140625" customWidth="1"/>
  </cols>
  <sheetData>
    <row r="1" spans="1:13" s="30" customFormat="1" ht="15" customHeight="1">
      <c r="B1" s="11" t="s">
        <v>18</v>
      </c>
      <c r="C1" s="30" t="s">
        <v>41</v>
      </c>
    </row>
    <row r="2" spans="1:13" s="30" customFormat="1" ht="32.25" customHeight="1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9" t="s">
        <v>7</v>
      </c>
      <c r="I2" s="28" t="s">
        <v>8</v>
      </c>
      <c r="J2" s="29" t="s">
        <v>9</v>
      </c>
      <c r="K2" s="25" t="s">
        <v>10</v>
      </c>
      <c r="L2" s="27" t="s">
        <v>11</v>
      </c>
    </row>
    <row r="3" spans="1:13">
      <c r="A3" s="1">
        <v>1</v>
      </c>
      <c r="B3" s="40" t="str">
        <f>август!B3</f>
        <v>Содержание общ.имущ.дома</v>
      </c>
      <c r="C3" s="8">
        <f>16264.19+4093.72</f>
        <v>20357.91</v>
      </c>
      <c r="D3" s="19">
        <f>C3+август!D3</f>
        <v>152037.83000000002</v>
      </c>
      <c r="E3" s="9">
        <f>13047.42+2137.9</f>
        <v>15185.32</v>
      </c>
      <c r="F3" s="19">
        <f>E3+август!F3</f>
        <v>160064.54</v>
      </c>
      <c r="G3" s="19">
        <f>E3-C3</f>
        <v>-5172.59</v>
      </c>
      <c r="H3" s="20">
        <f>F3-D3</f>
        <v>8026.7099999999919</v>
      </c>
      <c r="I3" s="9"/>
      <c r="J3" s="20">
        <f>I3+август!J3</f>
        <v>0</v>
      </c>
      <c r="K3" s="8"/>
      <c r="L3" s="19">
        <f>K3+август!L3</f>
        <v>0</v>
      </c>
    </row>
    <row r="4" spans="1:13">
      <c r="A4" s="1">
        <f>A3+1</f>
        <v>2</v>
      </c>
      <c r="B4" s="40" t="str">
        <f>август!B4</f>
        <v>Отопление</v>
      </c>
      <c r="C4" s="8">
        <f>0+0</f>
        <v>0</v>
      </c>
      <c r="D4" s="19">
        <f>C4+август!D4</f>
        <v>223929.24</v>
      </c>
      <c r="E4" s="9">
        <f>2876.1+793.88</f>
        <v>3669.98</v>
      </c>
      <c r="F4" s="19">
        <f>E4+август!F4</f>
        <v>741089.67999999993</v>
      </c>
      <c r="G4" s="19">
        <f t="shared" ref="G4:H22" si="0">E4-C4</f>
        <v>3669.98</v>
      </c>
      <c r="H4" s="20">
        <f t="shared" si="0"/>
        <v>517160.43999999994</v>
      </c>
      <c r="I4" s="9"/>
      <c r="J4" s="20">
        <f>I4+август!J4</f>
        <v>0</v>
      </c>
      <c r="K4" s="8"/>
      <c r="L4" s="19">
        <f>K4+август!L4</f>
        <v>0</v>
      </c>
      <c r="M4" s="12">
        <f>L4-J4</f>
        <v>0</v>
      </c>
    </row>
    <row r="5" spans="1:13">
      <c r="A5" s="1">
        <f t="shared" ref="A5:A22" si="1">A4+1</f>
        <v>3</v>
      </c>
      <c r="B5" s="40" t="str">
        <f>август!B5</f>
        <v>Горячее водоснабжение</v>
      </c>
      <c r="C5" s="8">
        <f>10884.46+2929.95</f>
        <v>13814.41</v>
      </c>
      <c r="D5" s="19">
        <f>C5+август!D5</f>
        <v>121262.41</v>
      </c>
      <c r="E5" s="9">
        <f>7556.14+1932.48</f>
        <v>9488.6200000000008</v>
      </c>
      <c r="F5" s="19">
        <f>E5+август!F5</f>
        <v>142867.84</v>
      </c>
      <c r="G5" s="19">
        <f t="shared" si="0"/>
        <v>-4325.7899999999991</v>
      </c>
      <c r="H5" s="20">
        <f t="shared" si="0"/>
        <v>21605.429999999993</v>
      </c>
      <c r="I5" s="9"/>
      <c r="J5" s="20">
        <f>I5+август!J5</f>
        <v>0</v>
      </c>
      <c r="K5" s="8"/>
      <c r="L5" s="19">
        <f>K5+август!L5</f>
        <v>0</v>
      </c>
    </row>
    <row r="6" spans="1:13">
      <c r="A6" s="1">
        <f t="shared" si="1"/>
        <v>4</v>
      </c>
      <c r="B6" s="40" t="str">
        <f>август!B6</f>
        <v>Газ</v>
      </c>
      <c r="C6" s="54">
        <f>0+0</f>
        <v>0</v>
      </c>
      <c r="D6" s="19">
        <f>C6+август!D6</f>
        <v>0</v>
      </c>
      <c r="E6" s="54">
        <f>0+0</f>
        <v>0</v>
      </c>
      <c r="F6" s="19">
        <f>E6+август!F6</f>
        <v>0</v>
      </c>
      <c r="G6" s="19">
        <f t="shared" si="0"/>
        <v>0</v>
      </c>
      <c r="H6" s="20">
        <f t="shared" si="0"/>
        <v>0</v>
      </c>
      <c r="I6" s="9"/>
      <c r="J6" s="20">
        <f>I6+август!J6</f>
        <v>0</v>
      </c>
      <c r="K6" s="8"/>
      <c r="L6" s="19">
        <f>K6+август!L6</f>
        <v>0</v>
      </c>
    </row>
    <row r="7" spans="1:13" ht="13.5" customHeight="1">
      <c r="A7" s="1">
        <f t="shared" si="1"/>
        <v>5</v>
      </c>
      <c r="B7" s="40" t="str">
        <f>август!B7</f>
        <v>Уборка и сан.очистка зем.уч.</v>
      </c>
      <c r="C7" s="8">
        <f>2501.15+629.55</f>
        <v>3130.7</v>
      </c>
      <c r="D7" s="19">
        <f>C7+август!D7</f>
        <v>21871.010000000002</v>
      </c>
      <c r="E7" s="9">
        <f>1985.78+320.33</f>
        <v>2306.11</v>
      </c>
      <c r="F7" s="19">
        <f>E7+август!F7</f>
        <v>22727.41</v>
      </c>
      <c r="G7" s="19">
        <f t="shared" si="0"/>
        <v>-824.58999999999969</v>
      </c>
      <c r="H7" s="20">
        <f t="shared" si="0"/>
        <v>856.39999999999782</v>
      </c>
      <c r="I7" s="9"/>
      <c r="J7" s="20">
        <f>I7+август!J7</f>
        <v>0</v>
      </c>
      <c r="K7" s="8"/>
      <c r="L7" s="19">
        <f>K7+август!L7</f>
        <v>0</v>
      </c>
    </row>
    <row r="8" spans="1:13" ht="13.5" customHeight="1">
      <c r="A8" s="1">
        <f t="shared" si="1"/>
        <v>6</v>
      </c>
      <c r="B8" s="40" t="str">
        <f>август!B8</f>
        <v>Электроснабжение(инд.потр)</v>
      </c>
      <c r="C8" s="8">
        <f>20638.8+5416.2</f>
        <v>26055</v>
      </c>
      <c r="D8" s="19">
        <f>C8+август!D8</f>
        <v>192876.98</v>
      </c>
      <c r="E8" s="9">
        <f>15945.45+3688.05</f>
        <v>19633.5</v>
      </c>
      <c r="F8" s="19">
        <f>E8+август!F8</f>
        <v>203078.03</v>
      </c>
      <c r="G8" s="19">
        <f t="shared" si="0"/>
        <v>-6421.5</v>
      </c>
      <c r="H8" s="20">
        <f t="shared" si="0"/>
        <v>10201.049999999988</v>
      </c>
      <c r="I8" s="9"/>
      <c r="J8" s="20">
        <f>I8+август!J8</f>
        <v>0</v>
      </c>
      <c r="K8" s="8"/>
      <c r="L8" s="19">
        <f>K8+август!L8</f>
        <v>0</v>
      </c>
    </row>
    <row r="9" spans="1:13">
      <c r="A9" s="1">
        <f t="shared" si="1"/>
        <v>7</v>
      </c>
      <c r="B9" s="40" t="str">
        <f>август!B9</f>
        <v>Холодная вода</v>
      </c>
      <c r="C9" s="8">
        <f>5414.78+1598.23</f>
        <v>7013.01</v>
      </c>
      <c r="D9" s="19">
        <f>C9+август!D9</f>
        <v>47432.600000000006</v>
      </c>
      <c r="E9" s="9">
        <f>3879.09+717.08</f>
        <v>4596.17</v>
      </c>
      <c r="F9" s="19">
        <f>E9+август!F9</f>
        <v>53091.899999999994</v>
      </c>
      <c r="G9" s="19">
        <f t="shared" si="0"/>
        <v>-2416.84</v>
      </c>
      <c r="H9" s="20">
        <f t="shared" si="0"/>
        <v>5659.2999999999884</v>
      </c>
      <c r="I9" s="9"/>
      <c r="J9" s="20">
        <f>I9+август!J9</f>
        <v>0</v>
      </c>
      <c r="K9" s="8"/>
      <c r="L9" s="19">
        <f>K9+август!L9</f>
        <v>0</v>
      </c>
    </row>
    <row r="10" spans="1:13">
      <c r="A10" s="1">
        <f t="shared" si="1"/>
        <v>8</v>
      </c>
      <c r="B10" s="40" t="str">
        <f>август!B10</f>
        <v>Канализирование х.воды</v>
      </c>
      <c r="C10" s="54">
        <f>0+0</f>
        <v>0</v>
      </c>
      <c r="D10" s="19">
        <f>C10+август!D10</f>
        <v>0</v>
      </c>
      <c r="E10" s="54">
        <f>0+0</f>
        <v>0</v>
      </c>
      <c r="F10" s="19">
        <f>E10+август!F10</f>
        <v>0</v>
      </c>
      <c r="G10" s="19">
        <f t="shared" si="0"/>
        <v>0</v>
      </c>
      <c r="H10" s="20">
        <f t="shared" si="0"/>
        <v>0</v>
      </c>
      <c r="I10" s="9"/>
      <c r="J10" s="20">
        <f>I10+август!J10</f>
        <v>0</v>
      </c>
      <c r="K10" s="8"/>
      <c r="L10" s="19">
        <f>K10+август!L10</f>
        <v>0</v>
      </c>
    </row>
    <row r="11" spans="1:13">
      <c r="A11" s="1">
        <f t="shared" si="1"/>
        <v>9</v>
      </c>
      <c r="B11" s="40" t="str">
        <f>август!B11</f>
        <v>Канализирование г.воды</v>
      </c>
      <c r="C11" s="54">
        <f>0+0</f>
        <v>0</v>
      </c>
      <c r="D11" s="19">
        <f>C11+август!D11</f>
        <v>0</v>
      </c>
      <c r="E11" s="54">
        <f>0+0</f>
        <v>0</v>
      </c>
      <c r="F11" s="19">
        <f>E11+август!F11</f>
        <v>0</v>
      </c>
      <c r="G11" s="19">
        <f t="shared" si="0"/>
        <v>0</v>
      </c>
      <c r="H11" s="20">
        <f t="shared" si="0"/>
        <v>0</v>
      </c>
      <c r="I11" s="9"/>
      <c r="J11" s="20">
        <f>I11+август!J11</f>
        <v>0</v>
      </c>
      <c r="K11" s="8"/>
      <c r="L11" s="19">
        <f>K11+август!L11</f>
        <v>0</v>
      </c>
    </row>
    <row r="12" spans="1:13">
      <c r="A12" s="1">
        <f t="shared" si="1"/>
        <v>10</v>
      </c>
      <c r="B12" s="40" t="str">
        <f>август!B12</f>
        <v>Тек.рем.общ.имущ.дома</v>
      </c>
      <c r="C12" s="8">
        <f>8487.49+2136.29</f>
        <v>10623.779999999999</v>
      </c>
      <c r="D12" s="19">
        <f>C12+август!D12</f>
        <v>79816.17</v>
      </c>
      <c r="E12" s="9">
        <f>6851.95+1118.3</f>
        <v>7970.25</v>
      </c>
      <c r="F12" s="19">
        <f>E12+август!F12</f>
        <v>86008.51999999999</v>
      </c>
      <c r="G12" s="19">
        <f t="shared" si="0"/>
        <v>-2653.5299999999988</v>
      </c>
      <c r="H12" s="20">
        <f t="shared" si="0"/>
        <v>6192.3499999999913</v>
      </c>
      <c r="I12" s="9"/>
      <c r="J12" s="20">
        <f>I12+август!J12</f>
        <v>0</v>
      </c>
      <c r="K12" s="8"/>
      <c r="L12" s="19">
        <f>K12+август!L12</f>
        <v>0</v>
      </c>
    </row>
    <row r="13" spans="1:13" ht="12.75" customHeight="1">
      <c r="A13" s="1">
        <f t="shared" si="1"/>
        <v>11</v>
      </c>
      <c r="B13" s="40" t="str">
        <f>август!B13</f>
        <v>Сод.и тек.рем.в/дом.газосн</v>
      </c>
      <c r="C13" s="8">
        <f>913.93+222.88</f>
        <v>1136.81</v>
      </c>
      <c r="D13" s="19">
        <f>C13+август!D13</f>
        <v>8630.909999999998</v>
      </c>
      <c r="E13" s="9">
        <f>748.32+60.04</f>
        <v>808.36</v>
      </c>
      <c r="F13" s="19">
        <f>E13+август!F13</f>
        <v>9149.6</v>
      </c>
      <c r="G13" s="19">
        <f t="shared" si="0"/>
        <v>-328.44999999999993</v>
      </c>
      <c r="H13" s="20">
        <f t="shared" si="0"/>
        <v>518.69000000000233</v>
      </c>
      <c r="I13" s="9"/>
      <c r="J13" s="20">
        <f>I13+август!J13</f>
        <v>0</v>
      </c>
      <c r="K13" s="8"/>
      <c r="L13" s="19">
        <f>K13+август!L13</f>
        <v>0</v>
      </c>
    </row>
    <row r="14" spans="1:13" ht="12.75" customHeight="1">
      <c r="A14" s="1">
        <f t="shared" si="1"/>
        <v>12</v>
      </c>
      <c r="B14" s="40" t="str">
        <f>август!B14</f>
        <v>Управление многокв.домом</v>
      </c>
      <c r="C14" s="8">
        <f>3512.54+884.11</f>
        <v>4396.6499999999996</v>
      </c>
      <c r="D14" s="19">
        <f>C14+август!D14</f>
        <v>31990.36</v>
      </c>
      <c r="E14" s="9">
        <f>2807.91+457.01</f>
        <v>3264.92</v>
      </c>
      <c r="F14" s="19">
        <f>E14+август!F14</f>
        <v>33166.61</v>
      </c>
      <c r="G14" s="19">
        <f t="shared" si="0"/>
        <v>-1131.7299999999996</v>
      </c>
      <c r="H14" s="20">
        <f t="shared" si="0"/>
        <v>1176.25</v>
      </c>
      <c r="I14" s="9"/>
      <c r="J14" s="20">
        <f>I14+август!J14</f>
        <v>0</v>
      </c>
      <c r="K14" s="8"/>
      <c r="L14" s="19">
        <f>K14+август!L14</f>
        <v>0</v>
      </c>
    </row>
    <row r="15" spans="1:13">
      <c r="A15" s="1">
        <f t="shared" si="1"/>
        <v>13</v>
      </c>
      <c r="B15" s="40" t="str">
        <f>август!B15</f>
        <v>Водоотведение(кв)</v>
      </c>
      <c r="C15" s="8">
        <f>8437.93+2412.47</f>
        <v>10850.4</v>
      </c>
      <c r="D15" s="19">
        <f>C15+август!D15</f>
        <v>79995.67</v>
      </c>
      <c r="E15" s="9">
        <f>5962.42+1242.84</f>
        <v>7205.26</v>
      </c>
      <c r="F15" s="19">
        <f>E15+август!F15</f>
        <v>92214.849999999991</v>
      </c>
      <c r="G15" s="19">
        <f t="shared" si="0"/>
        <v>-3645.1399999999994</v>
      </c>
      <c r="H15" s="20">
        <f t="shared" si="0"/>
        <v>12219.179999999993</v>
      </c>
      <c r="I15" s="9"/>
      <c r="J15" s="20">
        <f>I15+август!J15</f>
        <v>0</v>
      </c>
      <c r="K15" s="8"/>
      <c r="L15" s="19">
        <f>K15+август!L15</f>
        <v>0</v>
      </c>
    </row>
    <row r="16" spans="1:13">
      <c r="A16" s="1">
        <f t="shared" si="1"/>
        <v>14</v>
      </c>
      <c r="B16" s="40" t="str">
        <f>август!B16</f>
        <v>Эксплуатация общед.ПУ</v>
      </c>
      <c r="C16" s="8">
        <f>902.09+227.07</f>
        <v>1129.1600000000001</v>
      </c>
      <c r="D16" s="19">
        <f>C16+август!D16</f>
        <v>8477.32</v>
      </c>
      <c r="E16" s="9">
        <f>725.05+118.84</f>
        <v>843.89</v>
      </c>
      <c r="F16" s="19">
        <f>E16+август!F16</f>
        <v>9079.15</v>
      </c>
      <c r="G16" s="19">
        <f t="shared" si="0"/>
        <v>-285.2700000000001</v>
      </c>
      <c r="H16" s="20">
        <f t="shared" si="0"/>
        <v>601.82999999999993</v>
      </c>
      <c r="I16" s="9"/>
      <c r="J16" s="20">
        <f>I16+август!J16</f>
        <v>0</v>
      </c>
      <c r="K16" s="8"/>
      <c r="L16" s="19">
        <f>K16+август!L16</f>
        <v>0</v>
      </c>
    </row>
    <row r="17" spans="1:12">
      <c r="A17" s="1">
        <f t="shared" si="1"/>
        <v>15</v>
      </c>
      <c r="B17" s="40" t="str">
        <f>август!B17</f>
        <v>Хол. водоснаб(о/д нужды)</v>
      </c>
      <c r="C17" s="8">
        <f>411+103.58</f>
        <v>514.58000000000004</v>
      </c>
      <c r="D17" s="19">
        <f>C17+август!D17</f>
        <v>3170.81</v>
      </c>
      <c r="E17" s="9">
        <f>332.63+50.46</f>
        <v>383.09</v>
      </c>
      <c r="F17" s="19">
        <f>E17+август!F17</f>
        <v>4394.5800000000008</v>
      </c>
      <c r="G17" s="19">
        <f t="shared" si="0"/>
        <v>-131.49000000000007</v>
      </c>
      <c r="H17" s="20">
        <f t="shared" si="0"/>
        <v>1223.7700000000009</v>
      </c>
      <c r="I17" s="9"/>
      <c r="J17" s="20">
        <f>I17+август!J17</f>
        <v>0</v>
      </c>
      <c r="K17" s="8"/>
      <c r="L17" s="19">
        <f>K17+август!L17</f>
        <v>0</v>
      </c>
    </row>
    <row r="18" spans="1:12" ht="12.75" customHeight="1">
      <c r="A18" s="1">
        <f t="shared" si="1"/>
        <v>16</v>
      </c>
      <c r="B18" s="40" t="str">
        <f>август!B18</f>
        <v>Водоотведение(о/д нужды)</v>
      </c>
      <c r="C18" s="54">
        <f>0+0</f>
        <v>0</v>
      </c>
      <c r="D18" s="19">
        <f>C18+август!D18</f>
        <v>0</v>
      </c>
      <c r="E18" s="54">
        <f>0+0</f>
        <v>0</v>
      </c>
      <c r="F18" s="19">
        <f>E18+август!F18</f>
        <v>0</v>
      </c>
      <c r="G18" s="19">
        <f t="shared" si="0"/>
        <v>0</v>
      </c>
      <c r="H18" s="20">
        <f t="shared" si="0"/>
        <v>0</v>
      </c>
      <c r="I18" s="9"/>
      <c r="J18" s="20">
        <f>I18+август!J18</f>
        <v>0</v>
      </c>
      <c r="K18" s="8"/>
      <c r="L18" s="19">
        <f>K18+август!L18</f>
        <v>0</v>
      </c>
    </row>
    <row r="19" spans="1:12">
      <c r="A19" s="1">
        <f t="shared" si="1"/>
        <v>17</v>
      </c>
      <c r="B19" s="40" t="str">
        <f>август!B19</f>
        <v>Отопление(о/д нужды)</v>
      </c>
      <c r="C19" s="54">
        <f>0+0</f>
        <v>0</v>
      </c>
      <c r="D19" s="19">
        <f>C19+август!D19</f>
        <v>0</v>
      </c>
      <c r="E19" s="54">
        <f>0+0</f>
        <v>0</v>
      </c>
      <c r="F19" s="19">
        <f>E19+август!F19</f>
        <v>0</v>
      </c>
      <c r="G19" s="19">
        <f t="shared" si="0"/>
        <v>0</v>
      </c>
      <c r="H19" s="20">
        <f t="shared" si="0"/>
        <v>0</v>
      </c>
      <c r="I19" s="9"/>
      <c r="J19" s="20">
        <f>I19+август!J19</f>
        <v>0</v>
      </c>
      <c r="K19" s="8"/>
      <c r="L19" s="19">
        <f>K19+август!L19</f>
        <v>0</v>
      </c>
    </row>
    <row r="20" spans="1:12" ht="14.25" customHeight="1">
      <c r="A20" s="1">
        <f t="shared" si="1"/>
        <v>18</v>
      </c>
      <c r="B20" s="40" t="str">
        <f>август!B20</f>
        <v>Электроснабжение(общед.нужды)</v>
      </c>
      <c r="C20" s="8">
        <f>2096.11+2732.9</f>
        <v>4829.01</v>
      </c>
      <c r="D20" s="19">
        <f>C20+август!D20</f>
        <v>45004.21</v>
      </c>
      <c r="E20" s="9">
        <f>6908.67+373.07</f>
        <v>7281.74</v>
      </c>
      <c r="F20" s="19">
        <f>E20+август!F20</f>
        <v>58198.829999999994</v>
      </c>
      <c r="G20" s="19">
        <f t="shared" si="0"/>
        <v>2452.7299999999996</v>
      </c>
      <c r="H20" s="20">
        <f t="shared" si="0"/>
        <v>13194.619999999995</v>
      </c>
      <c r="I20" s="9"/>
      <c r="J20" s="20">
        <f>I20+август!J20</f>
        <v>0</v>
      </c>
      <c r="K20" s="8"/>
      <c r="L20" s="19">
        <f>K20+август!L20</f>
        <v>0</v>
      </c>
    </row>
    <row r="21" spans="1:12">
      <c r="A21" s="1">
        <f t="shared" si="1"/>
        <v>19</v>
      </c>
      <c r="B21" s="40" t="s">
        <v>36</v>
      </c>
      <c r="C21" s="54">
        <f>0+0</f>
        <v>0</v>
      </c>
      <c r="D21" s="19">
        <f>C21+август!D21</f>
        <v>0</v>
      </c>
      <c r="E21" s="54">
        <f>0+0</f>
        <v>0</v>
      </c>
      <c r="F21" s="19">
        <f>E21+август!F21</f>
        <v>0</v>
      </c>
      <c r="G21" s="19">
        <f t="shared" si="0"/>
        <v>0</v>
      </c>
      <c r="H21" s="20">
        <f t="shared" si="0"/>
        <v>0</v>
      </c>
      <c r="I21" s="9"/>
      <c r="J21" s="20">
        <f>I21+август!J21</f>
        <v>0</v>
      </c>
      <c r="K21" s="8"/>
      <c r="L21" s="19">
        <f>K21+август!L21</f>
        <v>0</v>
      </c>
    </row>
    <row r="22" spans="1:12" ht="16.5" customHeight="1">
      <c r="A22" s="1">
        <f t="shared" si="1"/>
        <v>20</v>
      </c>
      <c r="B22" s="40" t="str">
        <f>август!B22</f>
        <v>Гор. Водоснабж. (о/д нужды)</v>
      </c>
      <c r="C22" s="8">
        <f>917.67+229.66</f>
        <v>1147.33</v>
      </c>
      <c r="D22" s="19">
        <f>C22+август!D22</f>
        <v>7264.44</v>
      </c>
      <c r="E22" s="9">
        <f>713.09+118</f>
        <v>831.09</v>
      </c>
      <c r="F22" s="19">
        <f>E22+август!F22</f>
        <v>14339.090000000002</v>
      </c>
      <c r="G22" s="19">
        <f t="shared" si="0"/>
        <v>-316.2399999999999</v>
      </c>
      <c r="H22" s="20">
        <f t="shared" si="0"/>
        <v>7074.6500000000024</v>
      </c>
      <c r="I22" s="9"/>
      <c r="J22" s="20">
        <f>I22+август!J22</f>
        <v>0</v>
      </c>
      <c r="K22" s="8"/>
      <c r="L22" s="19">
        <f>K22+август!L22</f>
        <v>0</v>
      </c>
    </row>
    <row r="23" spans="1:12">
      <c r="A23" s="17"/>
      <c r="B23" s="18" t="s">
        <v>12</v>
      </c>
      <c r="C23" s="19">
        <f t="shared" ref="C23:L23" si="2">SUM(C3:C22)</f>
        <v>104998.74999999999</v>
      </c>
      <c r="D23" s="19">
        <f t="shared" si="2"/>
        <v>1023759.96</v>
      </c>
      <c r="E23" s="20">
        <f t="shared" si="2"/>
        <v>83468.299999999988</v>
      </c>
      <c r="F23" s="19">
        <f t="shared" si="2"/>
        <v>1629470.6300000004</v>
      </c>
      <c r="G23" s="19">
        <f t="shared" si="2"/>
        <v>-21530.450000000004</v>
      </c>
      <c r="H23" s="20">
        <f t="shared" si="2"/>
        <v>605710.66999999981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5" spans="1:12">
      <c r="B25" s="41" t="s">
        <v>35</v>
      </c>
      <c r="C25" s="9">
        <f t="shared" ref="C25:H25" si="3">C3+C7+C12+C13+C14+C16</f>
        <v>40775.01</v>
      </c>
      <c r="D25" s="9">
        <f t="shared" si="3"/>
        <v>302823.59999999998</v>
      </c>
      <c r="E25" s="9">
        <f t="shared" si="3"/>
        <v>30378.85</v>
      </c>
      <c r="F25" s="9">
        <f t="shared" si="3"/>
        <v>320195.82999999996</v>
      </c>
      <c r="G25" s="9">
        <f t="shared" si="3"/>
        <v>-10396.16</v>
      </c>
      <c r="H25" s="9">
        <f t="shared" si="3"/>
        <v>17372.229999999981</v>
      </c>
    </row>
    <row r="26" spans="1:12">
      <c r="B26" s="1" t="s">
        <v>37</v>
      </c>
      <c r="C26" s="9">
        <f>C9+C10+C11+C15+C17+C18</f>
        <v>18377.990000000002</v>
      </c>
      <c r="D26" s="9">
        <f t="shared" ref="D26:J26" si="4">D9+D10+D11+D15+D17+D18</f>
        <v>130599.08</v>
      </c>
      <c r="E26" s="9">
        <f t="shared" si="4"/>
        <v>12184.52</v>
      </c>
      <c r="F26" s="9">
        <f t="shared" si="4"/>
        <v>149701.32999999999</v>
      </c>
      <c r="G26" s="9">
        <f t="shared" si="4"/>
        <v>-6193.4699999999993</v>
      </c>
      <c r="H26" s="9">
        <f t="shared" si="4"/>
        <v>19102.249999999982</v>
      </c>
      <c r="I26" s="9">
        <f t="shared" si="4"/>
        <v>0</v>
      </c>
      <c r="J26" s="9">
        <f t="shared" si="4"/>
        <v>0</v>
      </c>
    </row>
    <row r="27" spans="1:12">
      <c r="B27" s="1" t="s">
        <v>38</v>
      </c>
      <c r="C27" s="9">
        <f>C8+C20</f>
        <v>30884.010000000002</v>
      </c>
      <c r="D27" s="9">
        <f t="shared" ref="D27:J27" si="5">D8+D20</f>
        <v>237881.19</v>
      </c>
      <c r="E27" s="9">
        <f t="shared" si="5"/>
        <v>26915.239999999998</v>
      </c>
      <c r="F27" s="9">
        <f t="shared" si="5"/>
        <v>261276.86</v>
      </c>
      <c r="G27" s="9">
        <f t="shared" si="5"/>
        <v>-3968.7700000000004</v>
      </c>
      <c r="H27" s="9">
        <f t="shared" si="5"/>
        <v>23395.669999999984</v>
      </c>
      <c r="I27" s="9">
        <f t="shared" si="5"/>
        <v>0</v>
      </c>
      <c r="J27" s="9">
        <f t="shared" si="5"/>
        <v>0</v>
      </c>
    </row>
    <row r="28" spans="1:12">
      <c r="B28" s="1" t="s">
        <v>39</v>
      </c>
      <c r="C28" s="9">
        <f>C4+C5+C19+C22</f>
        <v>14961.74</v>
      </c>
      <c r="D28" s="9">
        <f t="shared" ref="D28:J28" si="6">D4+D5+D19+D22</f>
        <v>352456.09</v>
      </c>
      <c r="E28" s="9">
        <f t="shared" si="6"/>
        <v>13989.69</v>
      </c>
      <c r="F28" s="9">
        <f t="shared" si="6"/>
        <v>898296.60999999987</v>
      </c>
      <c r="G28" s="9">
        <f t="shared" si="6"/>
        <v>-972.04999999999893</v>
      </c>
      <c r="H28" s="9">
        <f t="shared" si="6"/>
        <v>545840.5199999999</v>
      </c>
      <c r="I28" s="9">
        <f t="shared" si="6"/>
        <v>0</v>
      </c>
      <c r="J28" s="9">
        <f t="shared" si="6"/>
        <v>0</v>
      </c>
    </row>
    <row r="31" spans="1:12">
      <c r="E31">
        <v>81382.14</v>
      </c>
      <c r="F31">
        <v>70340.02</v>
      </c>
    </row>
    <row r="32" spans="1:12">
      <c r="E32">
        <v>23616.61</v>
      </c>
      <c r="F32">
        <v>13128.28</v>
      </c>
    </row>
    <row r="33" spans="5:6">
      <c r="E33" s="11">
        <f>E31+E32</f>
        <v>104998.75</v>
      </c>
      <c r="F33" s="11">
        <f>F31+F32</f>
        <v>83468.3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декабрь17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2017-09-27T10:11:42Z</cp:lastPrinted>
  <dcterms:created xsi:type="dcterms:W3CDTF">1996-10-08T23:32:33Z</dcterms:created>
  <dcterms:modified xsi:type="dcterms:W3CDTF">2018-01-19T10:55:20Z</dcterms:modified>
</cp:coreProperties>
</file>